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25" activeTab="0"/>
  </bookViews>
  <sheets>
    <sheet name="Budget" sheetId="1" r:id="rId1"/>
    <sheet name="Reserve" sheetId="2" r:id="rId2"/>
    <sheet name="Calculation" sheetId="3" r:id="rId3"/>
  </sheets>
  <definedNames>
    <definedName name="AdministrativeItems">'Budget'!$C$28:$C$37</definedName>
    <definedName name="OperationalItems">'Budget'!$C$41:$C$64</definedName>
    <definedName name="_xlnm.Print_Area" localSheetId="0">'Budget'!$A$1:$K$94</definedName>
    <definedName name="_xlnm.Print_Area" localSheetId="2">'Calculation'!$A$1:$G$38</definedName>
    <definedName name="_xlnm.Print_Area" localSheetId="1">'Reserve'!$A$1:$G$24</definedName>
    <definedName name="_xlnm.Print_Titles" localSheetId="0">'Budget'!$1:$7</definedName>
    <definedName name="ProposedAdministrativeItems">'Budget'!#REF!</definedName>
    <definedName name="ReserveItems">'Budget'!$C$78:$C$83</definedName>
    <definedName name="RevenueItems">'Budget'!$C$9:$C$23</definedName>
    <definedName name="UtilityExpenses">'Budget'!$C$68:$C$72</definedName>
  </definedNames>
  <calcPr fullCalcOnLoad="1"/>
</workbook>
</file>

<file path=xl/sharedStrings.xml><?xml version="1.0" encoding="utf-8"?>
<sst xmlns="http://schemas.openxmlformats.org/spreadsheetml/2006/main" count="164" uniqueCount="150">
  <si>
    <t>Description</t>
  </si>
  <si>
    <t>Member Assessments</t>
  </si>
  <si>
    <t>Application Fees</t>
  </si>
  <si>
    <t>Misc. Income</t>
  </si>
  <si>
    <t>Prior Year Surplus</t>
  </si>
  <si>
    <t>Property Management</t>
  </si>
  <si>
    <t>Legal Fees</t>
  </si>
  <si>
    <t>Office and Meeting Expenses</t>
  </si>
  <si>
    <t>Licensing Fees &amp; Taxes</t>
  </si>
  <si>
    <t>Insurance</t>
  </si>
  <si>
    <t>Printing/Postage</t>
  </si>
  <si>
    <t>Landscape Maintenance</t>
  </si>
  <si>
    <t>Tree Maintenance</t>
  </si>
  <si>
    <t xml:space="preserve">Landscape Replacement </t>
  </si>
  <si>
    <t>Mulch</t>
  </si>
  <si>
    <t>Pest Control</t>
  </si>
  <si>
    <t>Lake Maintenance</t>
  </si>
  <si>
    <t>Tennis Court Maintenance</t>
  </si>
  <si>
    <t>Janitorial</t>
  </si>
  <si>
    <t>Clubhouse R&amp;M</t>
  </si>
  <si>
    <t>Golf Cart Rental</t>
  </si>
  <si>
    <t>Pool Maintenance</t>
  </si>
  <si>
    <t>Pool Repairs</t>
  </si>
  <si>
    <t>Electricity</t>
  </si>
  <si>
    <t>Water/Sewer</t>
  </si>
  <si>
    <t>Telephone</t>
  </si>
  <si>
    <t>Security Monitoring</t>
  </si>
  <si>
    <t>Reserves: Interest</t>
  </si>
  <si>
    <t>REVENUE</t>
  </si>
  <si>
    <t>Utilities Total</t>
  </si>
  <si>
    <t>Reserve Funding Total</t>
  </si>
  <si>
    <t xml:space="preserve">   </t>
  </si>
  <si>
    <t>Irrigation Repairs and Parts</t>
  </si>
  <si>
    <t>Bad Debt</t>
  </si>
  <si>
    <t>Irrigation Maintenance</t>
  </si>
  <si>
    <t>Total Expense w/o reserves</t>
  </si>
  <si>
    <t>(Based on 379 units)</t>
  </si>
  <si>
    <t>Budget</t>
  </si>
  <si>
    <t>Total Expenses</t>
  </si>
  <si>
    <t>QUARTERLY ASSESSMENTS:</t>
  </si>
  <si>
    <t xml:space="preserve">Acct </t>
  </si>
  <si>
    <t>No</t>
  </si>
  <si>
    <t>CAPRI</t>
  </si>
  <si>
    <t>OAKMONT</t>
  </si>
  <si>
    <t>CARLYLE</t>
  </si>
  <si>
    <t>ADMINISTRATIVE EXPENSES</t>
  </si>
  <si>
    <t>OPERATIONAL EXPENSES</t>
  </si>
  <si>
    <t>UTILITIES</t>
  </si>
  <si>
    <t>RESERVE FUNDING</t>
  </si>
  <si>
    <t>Operational Expense Total</t>
  </si>
  <si>
    <t xml:space="preserve">Total Revenue </t>
  </si>
  <si>
    <t xml:space="preserve">Administrative Expenses Total </t>
  </si>
  <si>
    <t>Net Income/(Loss)</t>
  </si>
  <si>
    <t>Hood Road Maintenance</t>
  </si>
  <si>
    <t>Median Reimbursement Income</t>
  </si>
  <si>
    <t>Security</t>
  </si>
  <si>
    <t>Estimated</t>
  </si>
  <si>
    <t>Year End</t>
  </si>
  <si>
    <t>Notes</t>
  </si>
  <si>
    <t>Actuals</t>
  </si>
  <si>
    <t>Projected</t>
  </si>
  <si>
    <t>Recover Prior Yr Bad Debts</t>
  </si>
  <si>
    <t>Interest Income</t>
  </si>
  <si>
    <t>Interest Income - Reserves</t>
  </si>
  <si>
    <t>Legal Fee Reimbursement</t>
  </si>
  <si>
    <t>Late Fees</t>
  </si>
  <si>
    <t>Club House Rentals</t>
  </si>
  <si>
    <t>Approved</t>
  </si>
  <si>
    <t>THE ISLES HOMEOWNERS ASSOCIATION, INC</t>
  </si>
  <si>
    <t>Military Median Maintenance</t>
  </si>
  <si>
    <t>Total quarterly assessment income</t>
  </si>
  <si>
    <t>Capri painting reserve contribution</t>
  </si>
  <si>
    <t>Gross allocated expenses</t>
  </si>
  <si>
    <t>Landscape Maintenance Costs</t>
  </si>
  <si>
    <t>Landscape Replacement Costs</t>
  </si>
  <si>
    <t>Allocated Costs</t>
  </si>
  <si>
    <t>Capri</t>
  </si>
  <si>
    <t>Oakmont</t>
  </si>
  <si>
    <t>Carlyle</t>
  </si>
  <si>
    <t>Common Expenses Allocated Equally</t>
  </si>
  <si>
    <t>Capri Allocated Costs</t>
  </si>
  <si>
    <t>Oakmont Allocated Costs</t>
  </si>
  <si>
    <t>Carlyle Allocated Costs</t>
  </si>
  <si>
    <t>Common Allocated Costs</t>
  </si>
  <si>
    <t>Capri Painting Reserve per Capri Unit</t>
  </si>
  <si>
    <t>Annual Assessment</t>
  </si>
  <si>
    <t>ITEM</t>
  </si>
  <si>
    <t>EST</t>
  </si>
  <si>
    <t>ESTIMATED</t>
  </si>
  <si>
    <t>REPLMNT</t>
  </si>
  <si>
    <t>LIFE</t>
  </si>
  <si>
    <t>REMAIN</t>
  </si>
  <si>
    <t>FUND BAL.</t>
  </si>
  <si>
    <t>ALLOCATION</t>
  </si>
  <si>
    <t>COST</t>
  </si>
  <si>
    <t xml:space="preserve"> </t>
  </si>
  <si>
    <t>INTEREST</t>
  </si>
  <si>
    <t>TOTAL</t>
  </si>
  <si>
    <t>CAPRI PAINTING</t>
  </si>
  <si>
    <t>Irrigation Maint, Repairs and Parts</t>
  </si>
  <si>
    <t>calculated</t>
  </si>
  <si>
    <t>with rounded</t>
  </si>
  <si>
    <t>difference</t>
  </si>
  <si>
    <t>Comcast Incentive Income</t>
  </si>
  <si>
    <t>Comcast Income</t>
  </si>
  <si>
    <t>Misc Repair / Maintenance</t>
  </si>
  <si>
    <t>Audit/Tax Prep/Reserve Study</t>
  </si>
  <si>
    <t>Social Expense</t>
  </si>
  <si>
    <t>Noise Abatement-Train</t>
  </si>
  <si>
    <t>MULCH</t>
  </si>
  <si>
    <t>Reserves: Mulch</t>
  </si>
  <si>
    <t>Keys and Fobs</t>
  </si>
  <si>
    <t>July - Dec.</t>
  </si>
  <si>
    <t>HIDE</t>
  </si>
  <si>
    <t>Pressure Cleaning</t>
  </si>
  <si>
    <t>Sales/Lease Revenue</t>
  </si>
  <si>
    <t xml:space="preserve">Mulch </t>
  </si>
  <si>
    <t>Consulting Fees</t>
  </si>
  <si>
    <t xml:space="preserve">Quarterly Assessment 2020-rounded </t>
  </si>
  <si>
    <t xml:space="preserve">Cable TV </t>
  </si>
  <si>
    <t>CONTINGENCY</t>
  </si>
  <si>
    <t>**includes all items in the reserve study except Capri Painting</t>
  </si>
  <si>
    <t xml:space="preserve">Reserves: Pooled </t>
  </si>
  <si>
    <t>Camera Maintenance</t>
  </si>
  <si>
    <t>POOLED RESERVES  ***</t>
  </si>
  <si>
    <t>OAKMONT PAINTING (not in study)</t>
  </si>
  <si>
    <t>CARLYLE PAINTING (not in study)</t>
  </si>
  <si>
    <t>Oakmont painting allocation</t>
  </si>
  <si>
    <t>Carlyle painting allocation</t>
  </si>
  <si>
    <t>Carlyle painting cleaning allocation</t>
  </si>
  <si>
    <t xml:space="preserve">2021 Proposed Budget </t>
  </si>
  <si>
    <t>Proposed</t>
  </si>
  <si>
    <t>Thru 6/30/20</t>
  </si>
  <si>
    <t xml:space="preserve">2021 RESERVE SCHEDULE </t>
  </si>
  <si>
    <t>YR. END 2020</t>
  </si>
  <si>
    <t xml:space="preserve">Reflects 2020 Reserve Study </t>
  </si>
  <si>
    <t>Holiday Lighting</t>
  </si>
  <si>
    <t>Sidewalk Repairs</t>
  </si>
  <si>
    <t xml:space="preserve">2021 Proposed Operating Budget Calculation </t>
  </si>
  <si>
    <t>Quarterly Assessment 2021-calculated</t>
  </si>
  <si>
    <t xml:space="preserve">Quarterly Assessment 2021-rounded </t>
  </si>
  <si>
    <t>Narrative</t>
  </si>
  <si>
    <t>Back yard oaks</t>
  </si>
  <si>
    <t>Why include repairs? Rental</t>
  </si>
  <si>
    <t>Reserves: Painting-Oakmont ($277.41/qtr)</t>
  </si>
  <si>
    <t>Reserves: Painting-Carlyle ($315.36/qtr)</t>
  </si>
  <si>
    <t>Reserves: Capri Painting ($71.30/qtr)</t>
  </si>
  <si>
    <t>Quarter painting reserve</t>
  </si>
  <si>
    <t>Transfer from Contingency Reserve</t>
  </si>
  <si>
    <t>Contingency/COVID-19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</si>
</sst>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9" fontId="6" fillId="0" borderId="0" xfId="0" applyNumberFormat="1" applyFont="1" applyFill="1" applyAlignment="1">
      <alignment/>
    </xf>
    <xf numFmtId="39" fontId="6" fillId="0" borderId="0" xfId="0" applyNumberFormat="1" applyFont="1" applyAlignment="1">
      <alignment/>
    </xf>
    <xf numFmtId="39" fontId="6" fillId="0" borderId="10" xfId="0" applyNumberFormat="1" applyFont="1" applyFill="1" applyBorder="1" applyAlignment="1">
      <alignment/>
    </xf>
    <xf numFmtId="39" fontId="6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 horizontal="center"/>
    </xf>
    <xf numFmtId="5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5" fontId="0" fillId="0" borderId="0" xfId="0" applyNumberFormat="1" applyAlignment="1">
      <alignment/>
    </xf>
    <xf numFmtId="39" fontId="6" fillId="0" borderId="0" xfId="0" applyNumberFormat="1" applyFont="1" applyAlignment="1">
      <alignment horizontal="center"/>
    </xf>
    <xf numFmtId="39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37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37" fontId="8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49" fillId="0" borderId="0" xfId="0" applyFont="1" applyAlignment="1">
      <alignment/>
    </xf>
    <xf numFmtId="37" fontId="9" fillId="0" borderId="16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wrapText="1"/>
    </xf>
    <xf numFmtId="44" fontId="14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0" fontId="50" fillId="0" borderId="0" xfId="0" applyFont="1" applyAlignment="1">
      <alignment/>
    </xf>
    <xf numFmtId="37" fontId="9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47" fillId="0" borderId="0" xfId="0" applyFont="1" applyAlignment="1">
      <alignment/>
    </xf>
    <xf numFmtId="39" fontId="47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37" fontId="9" fillId="0" borderId="18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37" fontId="8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BreakPreview" zoomScaleSheetLayoutView="100" workbookViewId="0" topLeftCell="A15">
      <selection activeCell="K53" sqref="K53"/>
    </sheetView>
  </sheetViews>
  <sheetFormatPr defaultColWidth="9.140625" defaultRowHeight="15"/>
  <cols>
    <col min="1" max="1" width="6.421875" style="28" customWidth="1"/>
    <col min="2" max="2" width="38.00390625" style="58" customWidth="1"/>
    <col min="3" max="3" width="14.57421875" style="28" customWidth="1"/>
    <col min="4" max="4" width="2.28125" style="28" customWidth="1"/>
    <col min="5" max="5" width="11.421875" style="28" customWidth="1"/>
    <col min="6" max="6" width="2.28125" style="28" customWidth="1"/>
    <col min="7" max="7" width="11.421875" style="28" customWidth="1"/>
    <col min="8" max="8" width="1.7109375" style="28" customWidth="1"/>
    <col min="9" max="9" width="9.7109375" style="28" customWidth="1"/>
    <col min="10" max="10" width="2.28125" style="28" customWidth="1"/>
    <col min="11" max="11" width="14.421875" style="59" customWidth="1"/>
    <col min="12" max="12" width="29.8515625" style="28" customWidth="1"/>
    <col min="13" max="16384" width="9.140625" style="28" customWidth="1"/>
  </cols>
  <sheetData>
    <row r="1" spans="1:12" ht="15.75">
      <c r="A1" s="82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7"/>
    </row>
    <row r="2" spans="1:12" ht="15.75">
      <c r="A2" s="84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7"/>
    </row>
    <row r="3" spans="1:12" ht="15.75">
      <c r="A3" s="82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27"/>
    </row>
    <row r="4" spans="2:12" ht="15.75">
      <c r="B4" s="29"/>
      <c r="C4" s="30"/>
      <c r="D4" s="29"/>
      <c r="E4" s="29"/>
      <c r="F4" s="29"/>
      <c r="G4" s="29"/>
      <c r="H4" s="29"/>
      <c r="I4" s="29"/>
      <c r="J4" s="29"/>
      <c r="K4" s="29"/>
      <c r="L4" s="31"/>
    </row>
    <row r="5" spans="1:12" ht="15.75" customHeight="1">
      <c r="A5" s="32"/>
      <c r="B5" s="32"/>
      <c r="C5" s="33">
        <v>2020</v>
      </c>
      <c r="D5" s="34"/>
      <c r="E5" s="34">
        <v>2020</v>
      </c>
      <c r="F5" s="34"/>
      <c r="G5" s="34">
        <v>2020</v>
      </c>
      <c r="H5" s="34"/>
      <c r="I5" s="34">
        <v>2020</v>
      </c>
      <c r="J5" s="34"/>
      <c r="K5" s="33">
        <v>2021</v>
      </c>
      <c r="L5" s="35"/>
    </row>
    <row r="6" spans="1:12" ht="15">
      <c r="A6" s="36" t="s">
        <v>40</v>
      </c>
      <c r="B6" s="37"/>
      <c r="C6" s="33" t="s">
        <v>67</v>
      </c>
      <c r="D6" s="33"/>
      <c r="E6" s="33" t="s">
        <v>59</v>
      </c>
      <c r="F6" s="33"/>
      <c r="G6" s="33" t="s">
        <v>60</v>
      </c>
      <c r="H6" s="33"/>
      <c r="I6" s="33" t="s">
        <v>56</v>
      </c>
      <c r="J6" s="33"/>
      <c r="K6" s="33" t="s">
        <v>131</v>
      </c>
      <c r="L6" s="35"/>
    </row>
    <row r="7" spans="1:12" ht="15">
      <c r="A7" s="38" t="s">
        <v>41</v>
      </c>
      <c r="B7" s="39" t="s">
        <v>0</v>
      </c>
      <c r="C7" s="40" t="s">
        <v>37</v>
      </c>
      <c r="D7" s="40"/>
      <c r="E7" s="40" t="s">
        <v>132</v>
      </c>
      <c r="F7" s="40"/>
      <c r="G7" s="40" t="s">
        <v>112</v>
      </c>
      <c r="H7" s="40"/>
      <c r="I7" s="40" t="s">
        <v>57</v>
      </c>
      <c r="J7" s="40"/>
      <c r="K7" s="40" t="s">
        <v>37</v>
      </c>
      <c r="L7" s="40" t="s">
        <v>58</v>
      </c>
    </row>
    <row r="8" spans="1:11" ht="14.25" customHeight="1">
      <c r="A8" s="42"/>
      <c r="B8" s="43" t="s">
        <v>28</v>
      </c>
      <c r="C8" s="42"/>
      <c r="D8" s="42"/>
      <c r="E8" s="42"/>
      <c r="F8" s="42"/>
      <c r="G8" s="42"/>
      <c r="H8" s="42"/>
      <c r="I8" s="42" t="s">
        <v>31</v>
      </c>
      <c r="J8" s="42"/>
      <c r="K8" s="41"/>
    </row>
    <row r="9" spans="1:14" ht="14.25" customHeight="1">
      <c r="A9" s="42">
        <v>5010</v>
      </c>
      <c r="B9" s="44" t="s">
        <v>1</v>
      </c>
      <c r="C9" s="45">
        <f>C86-SUM(C10:C24)</f>
        <v>2109836</v>
      </c>
      <c r="D9" s="45"/>
      <c r="E9" s="45">
        <v>1581877</v>
      </c>
      <c r="F9" s="45"/>
      <c r="G9" s="45">
        <f>+C9-E9</f>
        <v>527959</v>
      </c>
      <c r="H9" s="45"/>
      <c r="I9" s="45">
        <f>SUM(E9:H9)</f>
        <v>2109836</v>
      </c>
      <c r="J9" s="45"/>
      <c r="K9" s="45">
        <f>K86-SUM(K10:K24)</f>
        <v>2180402</v>
      </c>
      <c r="M9" s="66"/>
      <c r="N9" s="66">
        <f>K9-C9</f>
        <v>70566</v>
      </c>
    </row>
    <row r="10" spans="1:11" ht="14.25" customHeight="1">
      <c r="A10" s="42">
        <v>5030</v>
      </c>
      <c r="B10" s="44" t="s">
        <v>62</v>
      </c>
      <c r="C10" s="45">
        <v>1200</v>
      </c>
      <c r="D10" s="45"/>
      <c r="E10" s="45">
        <v>1336</v>
      </c>
      <c r="F10" s="45"/>
      <c r="G10" s="45">
        <v>240</v>
      </c>
      <c r="H10" s="45"/>
      <c r="I10" s="45">
        <f aca="true" t="shared" si="0" ref="I10:I24">SUM(E10:H10)</f>
        <v>1576</v>
      </c>
      <c r="J10" s="45"/>
      <c r="K10" s="45">
        <v>1000</v>
      </c>
    </row>
    <row r="11" spans="1:11" ht="14.25" customHeight="1">
      <c r="A11" s="42">
        <v>5032</v>
      </c>
      <c r="B11" s="44" t="s">
        <v>63</v>
      </c>
      <c r="C11" s="45"/>
      <c r="D11" s="45"/>
      <c r="E11" s="45">
        <v>6549</v>
      </c>
      <c r="F11" s="45"/>
      <c r="G11" s="45">
        <v>3000</v>
      </c>
      <c r="H11" s="45"/>
      <c r="I11" s="45">
        <f t="shared" si="0"/>
        <v>9549</v>
      </c>
      <c r="J11" s="45"/>
      <c r="K11" s="45"/>
    </row>
    <row r="12" spans="1:11" ht="14.25" customHeight="1">
      <c r="A12" s="42">
        <v>5040</v>
      </c>
      <c r="B12" s="44" t="s">
        <v>64</v>
      </c>
      <c r="C12" s="45"/>
      <c r="D12" s="45"/>
      <c r="E12" s="45">
        <v>1600</v>
      </c>
      <c r="F12" s="45"/>
      <c r="G12" s="45">
        <v>1400</v>
      </c>
      <c r="H12" s="45"/>
      <c r="I12" s="45">
        <f t="shared" si="0"/>
        <v>3000</v>
      </c>
      <c r="J12" s="45"/>
      <c r="K12" s="45"/>
    </row>
    <row r="13" spans="1:11" ht="14.25" customHeight="1">
      <c r="A13" s="42">
        <v>5050</v>
      </c>
      <c r="B13" s="44" t="s">
        <v>65</v>
      </c>
      <c r="C13" s="45"/>
      <c r="D13" s="45"/>
      <c r="E13" s="45">
        <v>2113</v>
      </c>
      <c r="F13" s="45"/>
      <c r="G13" s="45">
        <v>250</v>
      </c>
      <c r="H13" s="45"/>
      <c r="I13" s="45">
        <f t="shared" si="0"/>
        <v>2363</v>
      </c>
      <c r="J13" s="45"/>
      <c r="K13" s="45"/>
    </row>
    <row r="14" spans="1:11" ht="14.25" customHeight="1">
      <c r="A14" s="42">
        <v>5055</v>
      </c>
      <c r="B14" s="44" t="s">
        <v>111</v>
      </c>
      <c r="C14" s="45"/>
      <c r="D14" s="45"/>
      <c r="E14" s="45">
        <v>300</v>
      </c>
      <c r="F14" s="45"/>
      <c r="G14" s="45">
        <v>100</v>
      </c>
      <c r="H14" s="45"/>
      <c r="I14" s="45">
        <f t="shared" si="0"/>
        <v>400</v>
      </c>
      <c r="J14" s="45"/>
      <c r="K14" s="45"/>
    </row>
    <row r="15" spans="1:11" ht="14.25" customHeight="1">
      <c r="A15" s="42">
        <v>5060</v>
      </c>
      <c r="B15" s="44" t="s">
        <v>115</v>
      </c>
      <c r="C15" s="45"/>
      <c r="D15" s="45"/>
      <c r="E15" s="45">
        <v>125</v>
      </c>
      <c r="F15" s="45"/>
      <c r="G15" s="45">
        <v>0</v>
      </c>
      <c r="H15" s="45"/>
      <c r="I15" s="45">
        <f t="shared" si="0"/>
        <v>125</v>
      </c>
      <c r="J15" s="45"/>
      <c r="K15" s="45"/>
    </row>
    <row r="16" spans="1:11" ht="14.25" customHeight="1" hidden="1">
      <c r="A16" s="42">
        <v>5065</v>
      </c>
      <c r="B16" s="44" t="s">
        <v>66</v>
      </c>
      <c r="C16" s="45"/>
      <c r="D16" s="45"/>
      <c r="E16" s="45"/>
      <c r="F16" s="45"/>
      <c r="G16" s="45">
        <v>0</v>
      </c>
      <c r="H16" s="45"/>
      <c r="I16" s="45">
        <f t="shared" si="0"/>
        <v>0</v>
      </c>
      <c r="J16" s="45"/>
      <c r="K16" s="45"/>
    </row>
    <row r="17" spans="1:11" ht="14.25" customHeight="1">
      <c r="A17" s="42">
        <v>5070</v>
      </c>
      <c r="B17" s="44" t="s">
        <v>2</v>
      </c>
      <c r="C17" s="45"/>
      <c r="D17" s="45"/>
      <c r="E17" s="45">
        <v>1750</v>
      </c>
      <c r="F17" s="45"/>
      <c r="G17" s="45">
        <v>750</v>
      </c>
      <c r="H17" s="45"/>
      <c r="I17" s="45">
        <f t="shared" si="0"/>
        <v>2500</v>
      </c>
      <c r="J17" s="45"/>
      <c r="K17" s="45"/>
    </row>
    <row r="18" spans="1:11" ht="14.25" customHeight="1">
      <c r="A18" s="42">
        <v>5080</v>
      </c>
      <c r="B18" s="44" t="s">
        <v>3</v>
      </c>
      <c r="C18" s="45">
        <v>2500</v>
      </c>
      <c r="D18" s="45"/>
      <c r="E18" s="45">
        <v>195</v>
      </c>
      <c r="F18" s="45"/>
      <c r="G18" s="45">
        <v>0</v>
      </c>
      <c r="H18" s="45"/>
      <c r="I18" s="45">
        <f t="shared" si="0"/>
        <v>195</v>
      </c>
      <c r="J18" s="45"/>
      <c r="K18" s="45">
        <v>2500</v>
      </c>
    </row>
    <row r="19" spans="1:11" ht="14.25" customHeight="1">
      <c r="A19" s="42">
        <v>5081</v>
      </c>
      <c r="B19" s="44" t="s">
        <v>103</v>
      </c>
      <c r="C19" s="45"/>
      <c r="D19" s="45"/>
      <c r="E19" s="45">
        <v>300</v>
      </c>
      <c r="F19" s="45"/>
      <c r="G19" s="45">
        <v>0</v>
      </c>
      <c r="H19" s="45"/>
      <c r="I19" s="45">
        <f t="shared" si="0"/>
        <v>300</v>
      </c>
      <c r="J19" s="45"/>
      <c r="K19" s="45"/>
    </row>
    <row r="20" spans="1:13" ht="14.25" customHeight="1">
      <c r="A20" s="42">
        <v>5083</v>
      </c>
      <c r="B20" s="44" t="s">
        <v>54</v>
      </c>
      <c r="C20" s="45">
        <f>C43/2</f>
        <v>9060</v>
      </c>
      <c r="D20" s="45"/>
      <c r="E20" s="45">
        <v>7392</v>
      </c>
      <c r="F20" s="45"/>
      <c r="G20" s="45">
        <v>1500</v>
      </c>
      <c r="H20" s="45"/>
      <c r="I20" s="45">
        <f t="shared" si="0"/>
        <v>8892</v>
      </c>
      <c r="J20" s="45"/>
      <c r="K20" s="45">
        <f>K43/2+0.5</f>
        <v>9138</v>
      </c>
      <c r="M20" s="28" t="s">
        <v>141</v>
      </c>
    </row>
    <row r="21" spans="1:11" ht="14.25" customHeight="1">
      <c r="A21" s="42">
        <v>5084</v>
      </c>
      <c r="B21" s="44" t="s">
        <v>61</v>
      </c>
      <c r="C21" s="45"/>
      <c r="D21" s="45"/>
      <c r="E21" s="45"/>
      <c r="F21" s="45"/>
      <c r="G21" s="45">
        <v>0</v>
      </c>
      <c r="H21" s="45"/>
      <c r="I21" s="45">
        <f t="shared" si="0"/>
        <v>0</v>
      </c>
      <c r="J21" s="45"/>
      <c r="K21" s="45"/>
    </row>
    <row r="22" spans="1:11" ht="14.25" customHeight="1">
      <c r="A22" s="42"/>
      <c r="B22" s="44" t="s">
        <v>148</v>
      </c>
      <c r="C22" s="45"/>
      <c r="D22" s="45"/>
      <c r="E22" s="45"/>
      <c r="F22" s="45"/>
      <c r="G22" s="45"/>
      <c r="H22" s="45"/>
      <c r="I22" s="45"/>
      <c r="J22" s="45"/>
      <c r="K22" s="45">
        <v>20000</v>
      </c>
    </row>
    <row r="23" spans="1:14" ht="14.25" customHeight="1">
      <c r="A23" s="42">
        <v>5085</v>
      </c>
      <c r="B23" s="44" t="s">
        <v>4</v>
      </c>
      <c r="C23" s="68">
        <v>40000</v>
      </c>
      <c r="D23" s="46"/>
      <c r="E23" s="46">
        <v>30000</v>
      </c>
      <c r="F23" s="46"/>
      <c r="G23" s="46">
        <v>10000</v>
      </c>
      <c r="H23" s="46"/>
      <c r="I23" s="46">
        <f t="shared" si="0"/>
        <v>40000</v>
      </c>
      <c r="J23" s="46"/>
      <c r="K23" s="68">
        <v>50000</v>
      </c>
      <c r="M23" s="28" t="s">
        <v>141</v>
      </c>
      <c r="N23" s="66">
        <f>K23-C23</f>
        <v>10000</v>
      </c>
    </row>
    <row r="24" spans="1:13" ht="14.25" customHeight="1">
      <c r="A24" s="42">
        <v>5098</v>
      </c>
      <c r="B24" s="44" t="s">
        <v>104</v>
      </c>
      <c r="C24" s="47">
        <v>8500</v>
      </c>
      <c r="D24" s="47"/>
      <c r="E24" s="47">
        <v>8121</v>
      </c>
      <c r="F24" s="47"/>
      <c r="G24" s="47">
        <v>2125</v>
      </c>
      <c r="H24" s="47"/>
      <c r="I24" s="47">
        <f t="shared" si="0"/>
        <v>10246</v>
      </c>
      <c r="J24" s="47"/>
      <c r="K24" s="47">
        <v>8500</v>
      </c>
      <c r="M24" s="28" t="s">
        <v>141</v>
      </c>
    </row>
    <row r="25" spans="1:11" ht="15">
      <c r="A25" s="42"/>
      <c r="B25" s="48" t="s">
        <v>50</v>
      </c>
      <c r="C25" s="45">
        <f>SUM(C9:C24)</f>
        <v>2171096</v>
      </c>
      <c r="D25" s="45"/>
      <c r="E25" s="45">
        <f>SUM(E9:E24)</f>
        <v>1641658</v>
      </c>
      <c r="F25" s="45"/>
      <c r="G25" s="45">
        <f>SUM(G9:G24)</f>
        <v>547324</v>
      </c>
      <c r="H25" s="45"/>
      <c r="I25" s="45">
        <f>SUM(I9:I24)</f>
        <v>2188982</v>
      </c>
      <c r="J25" s="45"/>
      <c r="K25" s="45">
        <f>SUM(K9:K24)</f>
        <v>2271540</v>
      </c>
    </row>
    <row r="26" spans="1:11" ht="15">
      <c r="A26" s="49"/>
      <c r="B26" s="44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5">
      <c r="A27" s="42"/>
      <c r="B27" s="43" t="s">
        <v>45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1:12" ht="15">
      <c r="A28" s="42">
        <v>6020</v>
      </c>
      <c r="B28" s="44" t="s">
        <v>5</v>
      </c>
      <c r="C28" s="45">
        <v>90960</v>
      </c>
      <c r="D28" s="45"/>
      <c r="E28" s="45">
        <v>68220</v>
      </c>
      <c r="F28" s="45"/>
      <c r="G28" s="45">
        <v>22740</v>
      </c>
      <c r="H28" s="45"/>
      <c r="I28" s="45">
        <f aca="true" t="shared" si="1" ref="I28:I37">SUM(E28:H28)</f>
        <v>90960</v>
      </c>
      <c r="J28" s="45"/>
      <c r="K28" s="45">
        <v>90960</v>
      </c>
      <c r="L28" s="50"/>
    </row>
    <row r="29" spans="1:11" ht="15">
      <c r="A29" s="42">
        <v>6030</v>
      </c>
      <c r="B29" s="44" t="s">
        <v>6</v>
      </c>
      <c r="C29" s="45">
        <v>15000</v>
      </c>
      <c r="D29" s="45"/>
      <c r="E29" s="45">
        <v>6029</v>
      </c>
      <c r="F29" s="45"/>
      <c r="G29" s="45">
        <v>2000</v>
      </c>
      <c r="H29" s="45"/>
      <c r="I29" s="45">
        <f>SUM(E29:H29)</f>
        <v>8029</v>
      </c>
      <c r="J29" s="45"/>
      <c r="K29" s="45">
        <v>15000</v>
      </c>
    </row>
    <row r="30" spans="1:11" ht="15" hidden="1">
      <c r="A30" s="42">
        <v>6040</v>
      </c>
      <c r="B30" s="44" t="s">
        <v>117</v>
      </c>
      <c r="C30" s="45"/>
      <c r="D30" s="45"/>
      <c r="E30" s="45"/>
      <c r="F30" s="45"/>
      <c r="G30" s="45">
        <v>0</v>
      </c>
      <c r="H30" s="45"/>
      <c r="I30" s="45">
        <f>SUM(E30:H30)</f>
        <v>0</v>
      </c>
      <c r="J30" s="45"/>
      <c r="K30" s="45">
        <v>0</v>
      </c>
    </row>
    <row r="31" spans="1:13" ht="15">
      <c r="A31" s="42">
        <v>6050</v>
      </c>
      <c r="B31" s="44" t="s">
        <v>7</v>
      </c>
      <c r="C31" s="45">
        <v>3900</v>
      </c>
      <c r="D31" s="45"/>
      <c r="E31" s="45">
        <v>5725</v>
      </c>
      <c r="F31" s="45"/>
      <c r="G31" s="45">
        <v>975</v>
      </c>
      <c r="H31" s="45"/>
      <c r="I31" s="45">
        <f t="shared" si="1"/>
        <v>6700</v>
      </c>
      <c r="J31" s="45"/>
      <c r="K31" s="45">
        <v>5200</v>
      </c>
      <c r="L31" s="50"/>
      <c r="M31" s="28" t="s">
        <v>141</v>
      </c>
    </row>
    <row r="32" spans="1:11" ht="15">
      <c r="A32" s="42">
        <v>6055</v>
      </c>
      <c r="B32" s="44" t="s">
        <v>106</v>
      </c>
      <c r="C32" s="45">
        <v>6500</v>
      </c>
      <c r="D32" s="45"/>
      <c r="E32" s="45">
        <v>5700</v>
      </c>
      <c r="F32" s="45"/>
      <c r="G32" s="45">
        <v>800</v>
      </c>
      <c r="H32" s="45"/>
      <c r="I32" s="45">
        <f t="shared" si="1"/>
        <v>6500</v>
      </c>
      <c r="J32" s="45"/>
      <c r="K32" s="45">
        <v>6550</v>
      </c>
    </row>
    <row r="33" spans="1:11" ht="15">
      <c r="A33" s="42">
        <v>6070</v>
      </c>
      <c r="B33" s="44" t="s">
        <v>8</v>
      </c>
      <c r="C33" s="45">
        <v>1800</v>
      </c>
      <c r="D33" s="45"/>
      <c r="E33" s="45">
        <v>311</v>
      </c>
      <c r="F33" s="45"/>
      <c r="G33" s="45">
        <v>1450</v>
      </c>
      <c r="H33" s="45"/>
      <c r="I33" s="45">
        <f t="shared" si="1"/>
        <v>1761</v>
      </c>
      <c r="J33" s="45"/>
      <c r="K33" s="45">
        <v>1800</v>
      </c>
    </row>
    <row r="34" spans="1:11" ht="15">
      <c r="A34" s="42">
        <v>6080</v>
      </c>
      <c r="B34" s="44" t="s">
        <v>9</v>
      </c>
      <c r="C34" s="45">
        <v>26800</v>
      </c>
      <c r="D34" s="45"/>
      <c r="E34" s="45">
        <v>17463</v>
      </c>
      <c r="F34" s="45"/>
      <c r="G34" s="45">
        <f>1955*3</f>
        <v>5865</v>
      </c>
      <c r="H34" s="45"/>
      <c r="I34" s="45">
        <f t="shared" si="1"/>
        <v>23328</v>
      </c>
      <c r="J34" s="45"/>
      <c r="K34" s="45">
        <v>28500</v>
      </c>
    </row>
    <row r="35" spans="1:11" ht="15" hidden="1">
      <c r="A35" s="42">
        <v>6085</v>
      </c>
      <c r="B35" s="44" t="s">
        <v>107</v>
      </c>
      <c r="C35" s="45">
        <v>0</v>
      </c>
      <c r="D35" s="45"/>
      <c r="E35" s="45"/>
      <c r="F35" s="45"/>
      <c r="G35" s="45">
        <v>0</v>
      </c>
      <c r="H35" s="45"/>
      <c r="I35" s="45">
        <f t="shared" si="1"/>
        <v>0</v>
      </c>
      <c r="J35" s="45"/>
      <c r="K35" s="45">
        <v>0</v>
      </c>
    </row>
    <row r="36" spans="1:12" ht="15">
      <c r="A36" s="42">
        <v>6090</v>
      </c>
      <c r="B36" s="44" t="s">
        <v>33</v>
      </c>
      <c r="C36" s="46">
        <v>4400</v>
      </c>
      <c r="D36" s="46"/>
      <c r="E36" s="46">
        <v>-2990</v>
      </c>
      <c r="F36" s="46"/>
      <c r="G36" s="46">
        <v>2990</v>
      </c>
      <c r="H36" s="46"/>
      <c r="I36" s="45">
        <f t="shared" si="1"/>
        <v>0</v>
      </c>
      <c r="J36" s="46"/>
      <c r="K36" s="46">
        <v>1000</v>
      </c>
      <c r="L36" s="51"/>
    </row>
    <row r="37" spans="1:11" ht="15">
      <c r="A37" s="42">
        <v>6095</v>
      </c>
      <c r="B37" s="44" t="s">
        <v>10</v>
      </c>
      <c r="C37" s="47">
        <v>3000</v>
      </c>
      <c r="D37" s="47"/>
      <c r="E37" s="47">
        <v>2470</v>
      </c>
      <c r="F37" s="47"/>
      <c r="G37" s="47">
        <v>450</v>
      </c>
      <c r="H37" s="47"/>
      <c r="I37" s="47">
        <f t="shared" si="1"/>
        <v>2920</v>
      </c>
      <c r="J37" s="47"/>
      <c r="K37" s="47">
        <v>3000</v>
      </c>
    </row>
    <row r="38" spans="1:11" ht="15">
      <c r="A38" s="42"/>
      <c r="B38" s="48" t="s">
        <v>51</v>
      </c>
      <c r="C38" s="45">
        <f>SUM(C28:C37)</f>
        <v>152360</v>
      </c>
      <c r="D38" s="45"/>
      <c r="E38" s="45">
        <f>SUM(E28:E37)</f>
        <v>102928</v>
      </c>
      <c r="F38" s="45"/>
      <c r="G38" s="45">
        <f>SUM(G28:G37)</f>
        <v>37270</v>
      </c>
      <c r="H38" s="45"/>
      <c r="I38" s="45">
        <f>SUM(I28:I37)</f>
        <v>140198</v>
      </c>
      <c r="J38" s="45"/>
      <c r="K38" s="45">
        <f>SUM(K28:K37)</f>
        <v>152010</v>
      </c>
    </row>
    <row r="39" spans="1:11" ht="15">
      <c r="A39" s="42"/>
      <c r="B39" s="44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5">
      <c r="A40" s="42"/>
      <c r="B40" s="43" t="s">
        <v>46</v>
      </c>
      <c r="C40" s="45"/>
      <c r="D40" s="45"/>
      <c r="E40" s="45"/>
      <c r="F40" s="45"/>
      <c r="G40" s="45"/>
      <c r="H40" s="45"/>
      <c r="I40" s="45"/>
      <c r="J40" s="45"/>
      <c r="K40" s="45"/>
    </row>
    <row r="41" spans="1:14" ht="15">
      <c r="A41" s="42">
        <v>6160</v>
      </c>
      <c r="B41" s="44" t="s">
        <v>11</v>
      </c>
      <c r="C41" s="45">
        <v>454890</v>
      </c>
      <c r="D41" s="45"/>
      <c r="E41" s="45">
        <v>341809</v>
      </c>
      <c r="F41" s="45"/>
      <c r="G41" s="45">
        <f>37071*3</f>
        <v>111213</v>
      </c>
      <c r="H41" s="45"/>
      <c r="I41" s="45">
        <f aca="true" t="shared" si="2" ref="I41:I64">SUM(E41:H41)</f>
        <v>453022</v>
      </c>
      <c r="J41" s="45"/>
      <c r="K41" s="45">
        <v>470200</v>
      </c>
      <c r="N41" s="66">
        <f>K41-C41</f>
        <v>15310</v>
      </c>
    </row>
    <row r="42" spans="1:11" ht="15">
      <c r="A42" s="42">
        <v>6162</v>
      </c>
      <c r="B42" s="44" t="s">
        <v>53</v>
      </c>
      <c r="C42" s="45">
        <v>2200</v>
      </c>
      <c r="D42" s="45"/>
      <c r="E42" s="45">
        <v>2040.78</v>
      </c>
      <c r="F42" s="45"/>
      <c r="G42" s="45">
        <v>0</v>
      </c>
      <c r="H42" s="45"/>
      <c r="I42" s="45">
        <f t="shared" si="2"/>
        <v>2040.78</v>
      </c>
      <c r="J42" s="45"/>
      <c r="K42" s="45">
        <v>2200</v>
      </c>
    </row>
    <row r="43" spans="1:13" ht="15">
      <c r="A43" s="49">
        <v>6163</v>
      </c>
      <c r="B43" s="76" t="s">
        <v>69</v>
      </c>
      <c r="C43" s="52">
        <v>18120</v>
      </c>
      <c r="D43" s="45"/>
      <c r="E43" s="45">
        <v>12137</v>
      </c>
      <c r="F43" s="45"/>
      <c r="G43" s="45">
        <v>3000</v>
      </c>
      <c r="H43" s="45"/>
      <c r="I43" s="45">
        <f t="shared" si="2"/>
        <v>15137</v>
      </c>
      <c r="J43" s="45"/>
      <c r="K43" s="52">
        <v>18275</v>
      </c>
      <c r="M43" s="28" t="s">
        <v>141</v>
      </c>
    </row>
    <row r="44" spans="1:14" ht="15">
      <c r="A44" s="49">
        <v>6165</v>
      </c>
      <c r="B44" s="76" t="s">
        <v>12</v>
      </c>
      <c r="C44" s="45">
        <v>157000</v>
      </c>
      <c r="D44" s="45"/>
      <c r="E44" s="45">
        <v>127916</v>
      </c>
      <c r="F44" s="45"/>
      <c r="G44" s="45">
        <v>36000</v>
      </c>
      <c r="H44" s="45"/>
      <c r="I44" s="45">
        <f>SUM(E44:H44)</f>
        <v>163916</v>
      </c>
      <c r="J44" s="45"/>
      <c r="K44" s="45">
        <v>177000</v>
      </c>
      <c r="L44" s="28" t="s">
        <v>142</v>
      </c>
      <c r="M44" s="28" t="s">
        <v>141</v>
      </c>
      <c r="N44" s="66">
        <f>K44-C44</f>
        <v>20000</v>
      </c>
    </row>
    <row r="45" spans="1:12" ht="15" hidden="1">
      <c r="A45" s="42"/>
      <c r="B45" s="44" t="s">
        <v>108</v>
      </c>
      <c r="C45" s="45">
        <v>0</v>
      </c>
      <c r="D45" s="45"/>
      <c r="E45" s="45"/>
      <c r="F45" s="45"/>
      <c r="G45" s="45"/>
      <c r="H45" s="45"/>
      <c r="I45" s="45">
        <f>SUM(E45:H45)</f>
        <v>0</v>
      </c>
      <c r="J45" s="45"/>
      <c r="K45" s="45">
        <v>0</v>
      </c>
      <c r="L45" s="28" t="s">
        <v>113</v>
      </c>
    </row>
    <row r="46" spans="1:11" ht="15">
      <c r="A46" s="42">
        <v>6170</v>
      </c>
      <c r="B46" s="44" t="s">
        <v>13</v>
      </c>
      <c r="C46" s="45">
        <f>150000</f>
        <v>150000</v>
      </c>
      <c r="D46" s="45"/>
      <c r="E46" s="45">
        <v>53384</v>
      </c>
      <c r="F46" s="45"/>
      <c r="G46" s="45">
        <f>75000+11616</f>
        <v>86616</v>
      </c>
      <c r="H46" s="45"/>
      <c r="I46" s="45">
        <f t="shared" si="2"/>
        <v>140000</v>
      </c>
      <c r="J46" s="45"/>
      <c r="K46" s="45">
        <v>150000</v>
      </c>
    </row>
    <row r="47" spans="1:12" ht="15" hidden="1">
      <c r="A47" s="42">
        <v>6175</v>
      </c>
      <c r="B47" s="44" t="s">
        <v>116</v>
      </c>
      <c r="C47" s="45">
        <v>0</v>
      </c>
      <c r="D47" s="45"/>
      <c r="E47" s="45"/>
      <c r="F47" s="45"/>
      <c r="G47" s="45"/>
      <c r="H47" s="45"/>
      <c r="I47" s="45">
        <f>SUM(E47:G47)</f>
        <v>0</v>
      </c>
      <c r="J47" s="45"/>
      <c r="K47" s="45">
        <v>0</v>
      </c>
      <c r="L47" s="50"/>
    </row>
    <row r="48" spans="1:11" ht="15">
      <c r="A48" s="42">
        <v>6177</v>
      </c>
      <c r="B48" s="44" t="s">
        <v>15</v>
      </c>
      <c r="C48" s="45">
        <v>2100</v>
      </c>
      <c r="D48" s="45"/>
      <c r="E48" s="45">
        <v>1045</v>
      </c>
      <c r="F48" s="45"/>
      <c r="G48" s="45">
        <v>525</v>
      </c>
      <c r="H48" s="45"/>
      <c r="I48" s="45">
        <f t="shared" si="2"/>
        <v>1570</v>
      </c>
      <c r="J48" s="45"/>
      <c r="K48" s="45">
        <v>1600</v>
      </c>
    </row>
    <row r="49" spans="1:11" ht="15">
      <c r="A49" s="42">
        <v>6180</v>
      </c>
      <c r="B49" s="44" t="s">
        <v>16</v>
      </c>
      <c r="C49" s="45">
        <v>20000</v>
      </c>
      <c r="D49" s="45"/>
      <c r="E49" s="45">
        <v>10503</v>
      </c>
      <c r="F49" s="45"/>
      <c r="G49" s="45">
        <v>3500</v>
      </c>
      <c r="H49" s="45"/>
      <c r="I49" s="45">
        <f t="shared" si="2"/>
        <v>14003</v>
      </c>
      <c r="J49" s="45"/>
      <c r="K49" s="45">
        <v>20000</v>
      </c>
    </row>
    <row r="50" spans="1:14" ht="15">
      <c r="A50" s="42">
        <v>6190</v>
      </c>
      <c r="B50" s="44" t="s">
        <v>34</v>
      </c>
      <c r="C50" s="45">
        <v>42000</v>
      </c>
      <c r="D50" s="45"/>
      <c r="E50" s="45">
        <v>57490</v>
      </c>
      <c r="F50" s="45"/>
      <c r="G50" s="45">
        <v>23700</v>
      </c>
      <c r="H50" s="45"/>
      <c r="I50" s="45">
        <f t="shared" si="2"/>
        <v>81190</v>
      </c>
      <c r="J50" s="45"/>
      <c r="K50" s="45">
        <v>94000</v>
      </c>
      <c r="N50" s="66">
        <f>K50-C50</f>
        <v>52000</v>
      </c>
    </row>
    <row r="51" spans="1:11" ht="15">
      <c r="A51" s="42">
        <v>6191</v>
      </c>
      <c r="B51" s="44" t="s">
        <v>17</v>
      </c>
      <c r="C51" s="45">
        <v>1500</v>
      </c>
      <c r="D51" s="45"/>
      <c r="E51" s="45">
        <v>124.17</v>
      </c>
      <c r="F51" s="45"/>
      <c r="G51" s="45">
        <v>600</v>
      </c>
      <c r="H51" s="45"/>
      <c r="I51" s="45">
        <f t="shared" si="2"/>
        <v>724.17</v>
      </c>
      <c r="J51" s="45"/>
      <c r="K51" s="45">
        <v>1450</v>
      </c>
    </row>
    <row r="52" spans="1:14" ht="15">
      <c r="A52" s="42">
        <v>6194</v>
      </c>
      <c r="B52" s="44" t="s">
        <v>32</v>
      </c>
      <c r="C52" s="45">
        <v>140000</v>
      </c>
      <c r="D52" s="45"/>
      <c r="E52" s="45">
        <v>89152</v>
      </c>
      <c r="F52" s="45"/>
      <c r="G52" s="45">
        <v>5250</v>
      </c>
      <c r="H52" s="45"/>
      <c r="I52" s="45">
        <f t="shared" si="2"/>
        <v>94402</v>
      </c>
      <c r="J52" s="45"/>
      <c r="K52" s="45">
        <v>86000</v>
      </c>
      <c r="N52" s="66">
        <f>K52-C52</f>
        <v>-54000</v>
      </c>
    </row>
    <row r="53" spans="1:11" ht="15">
      <c r="A53" s="78">
        <v>6200</v>
      </c>
      <c r="B53" s="79" t="s">
        <v>105</v>
      </c>
      <c r="C53" s="80">
        <f>28000-397+48</f>
        <v>27651</v>
      </c>
      <c r="D53" s="80"/>
      <c r="E53" s="80">
        <v>26280</v>
      </c>
      <c r="F53" s="80"/>
      <c r="G53" s="80">
        <v>9500</v>
      </c>
      <c r="H53" s="80"/>
      <c r="I53" s="80">
        <f t="shared" si="2"/>
        <v>35780</v>
      </c>
      <c r="J53" s="80"/>
      <c r="K53" s="80">
        <f>2500-535+142</f>
        <v>2107</v>
      </c>
    </row>
    <row r="54" spans="1:11" ht="15">
      <c r="A54" s="78"/>
      <c r="B54" s="79" t="s">
        <v>136</v>
      </c>
      <c r="C54" s="80"/>
      <c r="D54" s="80"/>
      <c r="E54" s="80"/>
      <c r="F54" s="80"/>
      <c r="G54" s="80"/>
      <c r="H54" s="80"/>
      <c r="I54" s="80"/>
      <c r="J54" s="80"/>
      <c r="K54" s="80">
        <v>7000</v>
      </c>
    </row>
    <row r="55" spans="1:11" ht="15">
      <c r="A55" s="78"/>
      <c r="B55" s="79" t="s">
        <v>137</v>
      </c>
      <c r="C55" s="80"/>
      <c r="D55" s="80"/>
      <c r="E55" s="80"/>
      <c r="F55" s="80"/>
      <c r="G55" s="80"/>
      <c r="H55" s="80"/>
      <c r="I55" s="80"/>
      <c r="J55" s="80"/>
      <c r="K55" s="80">
        <v>30000</v>
      </c>
    </row>
    <row r="56" spans="1:11" ht="15">
      <c r="A56" s="78"/>
      <c r="B56" s="79" t="s">
        <v>149</v>
      </c>
      <c r="C56" s="80"/>
      <c r="D56" s="80"/>
      <c r="E56" s="80"/>
      <c r="F56" s="80"/>
      <c r="G56" s="80"/>
      <c r="H56" s="80"/>
      <c r="I56" s="80"/>
      <c r="J56" s="80"/>
      <c r="K56" s="80">
        <v>20000</v>
      </c>
    </row>
    <row r="57" spans="1:11" ht="15">
      <c r="A57" s="42">
        <v>6205</v>
      </c>
      <c r="B57" s="44" t="s">
        <v>18</v>
      </c>
      <c r="C57" s="45">
        <v>15000</v>
      </c>
      <c r="D57" s="45"/>
      <c r="E57" s="45">
        <v>7638</v>
      </c>
      <c r="F57" s="45"/>
      <c r="G57" s="45">
        <v>2200</v>
      </c>
      <c r="H57" s="45"/>
      <c r="I57" s="45">
        <f t="shared" si="2"/>
        <v>9838</v>
      </c>
      <c r="J57" s="45"/>
      <c r="K57" s="45">
        <v>15000</v>
      </c>
    </row>
    <row r="58" spans="1:11" ht="15">
      <c r="A58" s="42">
        <v>6207</v>
      </c>
      <c r="B58" s="44" t="s">
        <v>19</v>
      </c>
      <c r="C58" s="45">
        <v>12000</v>
      </c>
      <c r="D58" s="45"/>
      <c r="E58" s="45">
        <v>7433</v>
      </c>
      <c r="F58" s="45"/>
      <c r="G58" s="45">
        <v>3000</v>
      </c>
      <c r="H58" s="45"/>
      <c r="I58" s="45">
        <f t="shared" si="2"/>
        <v>10433</v>
      </c>
      <c r="J58" s="45"/>
      <c r="K58" s="45">
        <v>11300</v>
      </c>
    </row>
    <row r="59" spans="1:12" ht="15">
      <c r="A59" s="42">
        <v>6210</v>
      </c>
      <c r="B59" s="44" t="s">
        <v>20</v>
      </c>
      <c r="C59" s="45">
        <v>1700</v>
      </c>
      <c r="D59" s="45"/>
      <c r="E59" s="45">
        <v>1129</v>
      </c>
      <c r="F59" s="45"/>
      <c r="G59" s="45">
        <v>1000</v>
      </c>
      <c r="H59" s="45"/>
      <c r="I59" s="45">
        <f t="shared" si="2"/>
        <v>2129</v>
      </c>
      <c r="J59" s="45"/>
      <c r="K59" s="45">
        <v>1950</v>
      </c>
      <c r="L59" s="28" t="s">
        <v>143</v>
      </c>
    </row>
    <row r="60" spans="1:11" ht="15">
      <c r="A60" s="49">
        <v>6220</v>
      </c>
      <c r="B60" s="76" t="s">
        <v>114</v>
      </c>
      <c r="C60" s="45">
        <v>23000</v>
      </c>
      <c r="D60" s="45"/>
      <c r="E60" s="45">
        <v>5000</v>
      </c>
      <c r="F60" s="45"/>
      <c r="G60" s="45">
        <v>17000</v>
      </c>
      <c r="H60" s="45"/>
      <c r="I60" s="45">
        <f>SUM(E60:G60)</f>
        <v>22000</v>
      </c>
      <c r="J60" s="45"/>
      <c r="K60" s="45">
        <v>22000</v>
      </c>
    </row>
    <row r="61" spans="1:11" ht="15">
      <c r="A61" s="42">
        <v>6225</v>
      </c>
      <c r="B61" s="44" t="s">
        <v>21</v>
      </c>
      <c r="C61" s="45">
        <v>10700</v>
      </c>
      <c r="D61" s="45"/>
      <c r="E61" s="45">
        <v>6265</v>
      </c>
      <c r="F61" s="45"/>
      <c r="G61" s="45">
        <v>1800</v>
      </c>
      <c r="H61" s="45"/>
      <c r="I61" s="45">
        <f t="shared" si="2"/>
        <v>8065</v>
      </c>
      <c r="J61" s="45"/>
      <c r="K61" s="45">
        <v>11300</v>
      </c>
    </row>
    <row r="62" spans="1:11" ht="15">
      <c r="A62" s="42">
        <v>6230</v>
      </c>
      <c r="B62" s="44" t="s">
        <v>22</v>
      </c>
      <c r="C62" s="45">
        <v>4000</v>
      </c>
      <c r="D62" s="46"/>
      <c r="E62" s="46">
        <v>680</v>
      </c>
      <c r="F62" s="46"/>
      <c r="G62" s="46">
        <v>1000</v>
      </c>
      <c r="H62" s="46"/>
      <c r="I62" s="45">
        <f t="shared" si="2"/>
        <v>1680</v>
      </c>
      <c r="J62" s="46"/>
      <c r="K62" s="45">
        <v>4000</v>
      </c>
    </row>
    <row r="63" spans="1:11" ht="15">
      <c r="A63" s="42">
        <v>6240</v>
      </c>
      <c r="B63" s="44" t="s">
        <v>55</v>
      </c>
      <c r="C63" s="45">
        <v>3500</v>
      </c>
      <c r="D63" s="46"/>
      <c r="E63" s="46">
        <v>1846</v>
      </c>
      <c r="F63" s="46"/>
      <c r="G63" s="46">
        <v>380</v>
      </c>
      <c r="H63" s="46"/>
      <c r="I63" s="45">
        <f t="shared" si="2"/>
        <v>2226</v>
      </c>
      <c r="J63" s="46"/>
      <c r="K63" s="45">
        <v>1800</v>
      </c>
    </row>
    <row r="64" spans="1:12" ht="15">
      <c r="A64" s="42">
        <v>6255</v>
      </c>
      <c r="B64" s="44" t="s">
        <v>123</v>
      </c>
      <c r="C64" s="47">
        <v>4500</v>
      </c>
      <c r="D64" s="47"/>
      <c r="E64" s="47">
        <v>3360</v>
      </c>
      <c r="F64" s="47"/>
      <c r="G64" s="47">
        <v>1000</v>
      </c>
      <c r="H64" s="47"/>
      <c r="I64" s="47">
        <f t="shared" si="2"/>
        <v>4360</v>
      </c>
      <c r="J64" s="47"/>
      <c r="K64" s="47">
        <v>4500</v>
      </c>
      <c r="L64" s="51"/>
    </row>
    <row r="65" spans="1:11" ht="14.25" customHeight="1">
      <c r="A65" s="42"/>
      <c r="B65" s="53" t="s">
        <v>49</v>
      </c>
      <c r="C65" s="75">
        <f>SUM(C41:C64)</f>
        <v>1089861</v>
      </c>
      <c r="D65" s="75"/>
      <c r="E65" s="75">
        <f>SUM(E41:E64)</f>
        <v>755231.9500000001</v>
      </c>
      <c r="F65" s="75"/>
      <c r="G65" s="75">
        <f>SUM(G41:G64)</f>
        <v>307284</v>
      </c>
      <c r="H65" s="75"/>
      <c r="I65" s="75">
        <f>SUM(I41:I64)</f>
        <v>1062515.9500000002</v>
      </c>
      <c r="J65" s="75"/>
      <c r="K65" s="75">
        <f>SUM(K41:K64)</f>
        <v>1151682</v>
      </c>
    </row>
    <row r="66" spans="1:11" ht="15">
      <c r="A66" s="42"/>
      <c r="B66" s="44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5">
      <c r="A67" s="42"/>
      <c r="B67" s="43" t="s">
        <v>47</v>
      </c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5">
      <c r="A68" s="42">
        <v>6290</v>
      </c>
      <c r="B68" s="44" t="s">
        <v>23</v>
      </c>
      <c r="C68" s="45">
        <v>72000</v>
      </c>
      <c r="D68" s="45"/>
      <c r="E68" s="45">
        <v>44388</v>
      </c>
      <c r="F68" s="45"/>
      <c r="G68" s="45">
        <v>20000</v>
      </c>
      <c r="H68" s="45"/>
      <c r="I68" s="45">
        <f>SUM(E68:H68)</f>
        <v>64388</v>
      </c>
      <c r="J68" s="45"/>
      <c r="K68" s="45">
        <v>72000</v>
      </c>
    </row>
    <row r="69" spans="1:11" ht="15">
      <c r="A69" s="42">
        <v>6295</v>
      </c>
      <c r="B69" s="44" t="s">
        <v>24</v>
      </c>
      <c r="C69" s="45">
        <v>72000</v>
      </c>
      <c r="D69" s="45"/>
      <c r="E69" s="45">
        <v>48464</v>
      </c>
      <c r="F69" s="45"/>
      <c r="G69" s="45">
        <v>16000</v>
      </c>
      <c r="H69" s="45"/>
      <c r="I69" s="45">
        <f>SUM(E69:H69)</f>
        <v>64464</v>
      </c>
      <c r="J69" s="45"/>
      <c r="K69" s="45">
        <v>72000</v>
      </c>
    </row>
    <row r="70" spans="1:14" ht="15">
      <c r="A70" s="42">
        <v>6305</v>
      </c>
      <c r="B70" s="70" t="s">
        <v>119</v>
      </c>
      <c r="C70" s="45">
        <v>345575</v>
      </c>
      <c r="D70" s="45"/>
      <c r="E70" s="45">
        <v>256990</v>
      </c>
      <c r="F70" s="45"/>
      <c r="G70" s="45">
        <f>28912*3</f>
        <v>86736</v>
      </c>
      <c r="H70" s="45"/>
      <c r="I70" s="45">
        <f>SUM(E70:H70)</f>
        <v>343726</v>
      </c>
      <c r="J70" s="45"/>
      <c r="K70" s="45">
        <v>357100</v>
      </c>
      <c r="N70" s="66">
        <f>K70-C70</f>
        <v>11525</v>
      </c>
    </row>
    <row r="71" spans="1:11" ht="15">
      <c r="A71" s="42">
        <v>6310</v>
      </c>
      <c r="B71" s="44" t="s">
        <v>25</v>
      </c>
      <c r="C71" s="45">
        <v>2500</v>
      </c>
      <c r="D71" s="45"/>
      <c r="E71" s="45">
        <v>1311</v>
      </c>
      <c r="F71" s="45"/>
      <c r="G71" s="45">
        <v>450</v>
      </c>
      <c r="H71" s="45"/>
      <c r="I71" s="45">
        <f>SUM(E71:H71)</f>
        <v>1761</v>
      </c>
      <c r="J71" s="45"/>
      <c r="K71" s="45">
        <v>2000</v>
      </c>
    </row>
    <row r="72" spans="1:12" ht="15">
      <c r="A72" s="42">
        <v>6325</v>
      </c>
      <c r="B72" s="44" t="s">
        <v>26</v>
      </c>
      <c r="C72" s="47">
        <v>48700</v>
      </c>
      <c r="D72" s="47"/>
      <c r="E72" s="47">
        <v>36498</v>
      </c>
      <c r="F72" s="47"/>
      <c r="G72" s="47">
        <f>4055*3</f>
        <v>12165</v>
      </c>
      <c r="H72" s="47"/>
      <c r="I72" s="47">
        <f>SUM(E72:H72)</f>
        <v>48663</v>
      </c>
      <c r="J72" s="47"/>
      <c r="K72" s="47">
        <v>48700</v>
      </c>
      <c r="L72" s="51"/>
    </row>
    <row r="73" spans="1:11" ht="15">
      <c r="A73" s="42"/>
      <c r="B73" s="48" t="s">
        <v>29</v>
      </c>
      <c r="C73" s="45">
        <f>SUM(C68:C72)</f>
        <v>540775</v>
      </c>
      <c r="D73" s="45"/>
      <c r="E73" s="45">
        <f>SUM(E68:E72)</f>
        <v>387651</v>
      </c>
      <c r="F73" s="45"/>
      <c r="G73" s="45">
        <f>SUM(G68:G72)</f>
        <v>135351</v>
      </c>
      <c r="H73" s="45"/>
      <c r="I73" s="45">
        <f>SUM(I68:I72)</f>
        <v>523002</v>
      </c>
      <c r="J73" s="45"/>
      <c r="K73" s="45">
        <f>SUM(K68:K72)</f>
        <v>551800</v>
      </c>
    </row>
    <row r="74" spans="1:11" ht="15">
      <c r="A74" s="42"/>
      <c r="B74" s="44"/>
      <c r="C74" s="45"/>
      <c r="D74" s="45"/>
      <c r="E74" s="45"/>
      <c r="F74" s="45"/>
      <c r="G74" s="45"/>
      <c r="H74" s="45"/>
      <c r="I74" s="45"/>
      <c r="J74" s="45"/>
      <c r="K74" s="45"/>
    </row>
    <row r="75" spans="2:11" ht="15">
      <c r="B75" s="53" t="s">
        <v>35</v>
      </c>
      <c r="C75" s="45">
        <f>SUM(C38,C65,C73)</f>
        <v>1782996</v>
      </c>
      <c r="D75" s="45"/>
      <c r="E75" s="45">
        <f>SUM(E38,E65,E73)</f>
        <v>1245810.9500000002</v>
      </c>
      <c r="F75" s="45"/>
      <c r="G75" s="45">
        <f>SUM(G38,G65,G73)</f>
        <v>479905</v>
      </c>
      <c r="H75" s="45"/>
      <c r="I75" s="45">
        <f>SUM(I38,I65,I73)</f>
        <v>1725715.9500000002</v>
      </c>
      <c r="J75" s="45"/>
      <c r="K75" s="45">
        <f>SUM(K38,K65,K73)</f>
        <v>1855492</v>
      </c>
    </row>
    <row r="76" spans="2:11" ht="15">
      <c r="B76" s="53"/>
      <c r="C76" s="45"/>
      <c r="D76" s="45"/>
      <c r="E76" s="45"/>
      <c r="F76" s="45"/>
      <c r="G76" s="45"/>
      <c r="H76" s="45"/>
      <c r="I76" s="45"/>
      <c r="J76" s="45"/>
      <c r="K76" s="45"/>
    </row>
    <row r="77" spans="2:12" ht="15">
      <c r="B77" s="77" t="s">
        <v>48</v>
      </c>
      <c r="C77" s="45"/>
      <c r="D77" s="45"/>
      <c r="E77" s="45"/>
      <c r="F77" s="45"/>
      <c r="G77" s="45"/>
      <c r="H77" s="45"/>
      <c r="I77" s="45"/>
      <c r="J77" s="45"/>
      <c r="K77" s="45"/>
      <c r="L77" s="54"/>
    </row>
    <row r="78" spans="1:14" ht="15">
      <c r="A78" s="49">
        <v>6430</v>
      </c>
      <c r="B78" s="76" t="s">
        <v>146</v>
      </c>
      <c r="C78" s="45">
        <v>16955</v>
      </c>
      <c r="D78" s="45"/>
      <c r="E78" s="45">
        <v>12716</v>
      </c>
      <c r="F78" s="45"/>
      <c r="G78" s="45">
        <v>4139</v>
      </c>
      <c r="H78" s="45"/>
      <c r="I78" s="45">
        <f aca="true" t="shared" si="3" ref="I78:I83">SUM(E78:H78)</f>
        <v>16855</v>
      </c>
      <c r="J78" s="45"/>
      <c r="K78" s="52">
        <f>+Reserve!F11</f>
        <v>42781</v>
      </c>
      <c r="N78" s="66">
        <f>K78-C78</f>
        <v>25826</v>
      </c>
    </row>
    <row r="79" spans="1:14" ht="15">
      <c r="A79" s="49">
        <v>6460</v>
      </c>
      <c r="B79" s="76" t="s">
        <v>144</v>
      </c>
      <c r="C79" s="45">
        <f>250*174*4</f>
        <v>174000</v>
      </c>
      <c r="D79" s="45"/>
      <c r="E79" s="45">
        <v>130500</v>
      </c>
      <c r="F79" s="45"/>
      <c r="G79" s="45">
        <v>43500</v>
      </c>
      <c r="H79" s="45"/>
      <c r="I79" s="45">
        <f t="shared" si="3"/>
        <v>174000</v>
      </c>
      <c r="J79" s="45"/>
      <c r="K79" s="52">
        <f>+Reserve!F12</f>
        <v>193077</v>
      </c>
      <c r="N79" s="66">
        <f>K79-C79</f>
        <v>19077</v>
      </c>
    </row>
    <row r="80" spans="1:14" ht="15">
      <c r="A80" s="49">
        <v>6470</v>
      </c>
      <c r="B80" s="76" t="s">
        <v>145</v>
      </c>
      <c r="C80" s="45">
        <f>275*55*4</f>
        <v>60500</v>
      </c>
      <c r="D80" s="45"/>
      <c r="E80" s="45">
        <v>45375</v>
      </c>
      <c r="F80" s="45"/>
      <c r="G80" s="45">
        <v>15125</v>
      </c>
      <c r="H80" s="45"/>
      <c r="I80" s="45">
        <f t="shared" si="3"/>
        <v>60500</v>
      </c>
      <c r="J80" s="45"/>
      <c r="K80" s="52">
        <f>+Reserve!F13</f>
        <v>69380</v>
      </c>
      <c r="N80" s="66">
        <f>K80-C80</f>
        <v>8880</v>
      </c>
    </row>
    <row r="81" spans="1:14" ht="15">
      <c r="A81" s="49">
        <v>6480</v>
      </c>
      <c r="B81" s="76" t="s">
        <v>122</v>
      </c>
      <c r="C81" s="45">
        <v>136645</v>
      </c>
      <c r="D81" s="45"/>
      <c r="E81" s="45">
        <v>102484</v>
      </c>
      <c r="F81" s="45"/>
      <c r="G81" s="45">
        <v>34161</v>
      </c>
      <c r="H81" s="45"/>
      <c r="I81" s="45">
        <f t="shared" si="3"/>
        <v>136645</v>
      </c>
      <c r="J81" s="45"/>
      <c r="K81" s="52">
        <f>+Reserve!F10</f>
        <v>110810</v>
      </c>
      <c r="L81" s="50"/>
      <c r="N81" s="66">
        <f>K81-C81</f>
        <v>-25835</v>
      </c>
    </row>
    <row r="82" spans="1:11" ht="15" hidden="1">
      <c r="A82" s="49"/>
      <c r="B82" s="76" t="s">
        <v>110</v>
      </c>
      <c r="C82" s="45"/>
      <c r="D82" s="45"/>
      <c r="E82" s="45"/>
      <c r="F82" s="45"/>
      <c r="G82" s="45"/>
      <c r="H82" s="45"/>
      <c r="I82" s="45">
        <f t="shared" si="3"/>
        <v>0</v>
      </c>
      <c r="J82" s="45"/>
      <c r="K82" s="52">
        <v>0</v>
      </c>
    </row>
    <row r="83" spans="1:11" ht="15">
      <c r="A83" s="49">
        <v>6490</v>
      </c>
      <c r="B83" s="76" t="s">
        <v>27</v>
      </c>
      <c r="C83" s="45"/>
      <c r="D83" s="47"/>
      <c r="E83" s="47">
        <v>6550</v>
      </c>
      <c r="F83" s="47"/>
      <c r="G83" s="45">
        <v>3000</v>
      </c>
      <c r="H83" s="47"/>
      <c r="I83" s="45">
        <f t="shared" si="3"/>
        <v>9550</v>
      </c>
      <c r="J83" s="47"/>
      <c r="K83" s="45"/>
    </row>
    <row r="84" spans="1:11" ht="15">
      <c r="A84" s="42"/>
      <c r="B84" s="48" t="s">
        <v>30</v>
      </c>
      <c r="C84" s="55">
        <f>SUM(C78:C83)</f>
        <v>388100</v>
      </c>
      <c r="D84" s="55"/>
      <c r="E84" s="55">
        <f>SUM(E78:E83)</f>
        <v>297625</v>
      </c>
      <c r="F84" s="55"/>
      <c r="G84" s="55">
        <f>SUM(G78:G83)</f>
        <v>99925</v>
      </c>
      <c r="H84" s="55"/>
      <c r="I84" s="55">
        <f>SUM(I78:I83)</f>
        <v>397550</v>
      </c>
      <c r="J84" s="55"/>
      <c r="K84" s="55">
        <f>SUM(K78:K83)</f>
        <v>416048</v>
      </c>
    </row>
    <row r="85" spans="1:11" ht="15">
      <c r="A85" s="42"/>
      <c r="B85" s="44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5">
      <c r="A86" s="42"/>
      <c r="B86" s="48" t="s">
        <v>38</v>
      </c>
      <c r="C86" s="47">
        <f>SUM(C38,C65,C73,C84)</f>
        <v>2171096</v>
      </c>
      <c r="D86" s="47"/>
      <c r="E86" s="47">
        <f>SUM(E38,E65,E73,E84)</f>
        <v>1543435.9500000002</v>
      </c>
      <c r="F86" s="47"/>
      <c r="G86" s="47">
        <f>SUM(G38,G65,G73,G84)</f>
        <v>579830</v>
      </c>
      <c r="H86" s="47"/>
      <c r="I86" s="47">
        <f>SUM(I38,I65,I73,I84)</f>
        <v>2123265.95</v>
      </c>
      <c r="J86" s="47"/>
      <c r="K86" s="47">
        <f>SUM(K38,K65,K73,K84)</f>
        <v>2271540</v>
      </c>
    </row>
    <row r="87" spans="1:11" ht="15.75" thickBot="1">
      <c r="A87" s="42"/>
      <c r="B87" s="43" t="s">
        <v>52</v>
      </c>
      <c r="C87" s="56">
        <f>C25-C86</f>
        <v>0</v>
      </c>
      <c r="D87" s="56"/>
      <c r="E87" s="56">
        <f>E25-E86</f>
        <v>98222.04999999981</v>
      </c>
      <c r="F87" s="56"/>
      <c r="G87" s="56">
        <f>G25-G86</f>
        <v>-32506</v>
      </c>
      <c r="H87" s="56"/>
      <c r="I87" s="56">
        <f>I25-I86</f>
        <v>65716.04999999981</v>
      </c>
      <c r="J87" s="56"/>
      <c r="K87" s="56">
        <f>K25-K86</f>
        <v>0</v>
      </c>
    </row>
    <row r="88" spans="1:11" ht="15" customHeight="1" thickTop="1">
      <c r="A88" s="57"/>
      <c r="B88" s="43"/>
      <c r="C88" s="45"/>
      <c r="D88" s="46"/>
      <c r="E88" s="46"/>
      <c r="F88" s="46"/>
      <c r="G88" s="46"/>
      <c r="H88" s="46"/>
      <c r="I88" s="45"/>
      <c r="J88" s="46"/>
      <c r="K88" s="45"/>
    </row>
    <row r="89" ht="15">
      <c r="C89" s="59"/>
    </row>
    <row r="90" spans="2:11" ht="15">
      <c r="B90" s="60" t="s">
        <v>39</v>
      </c>
      <c r="C90" s="61">
        <v>2020</v>
      </c>
      <c r="D90" s="59"/>
      <c r="E90" s="59"/>
      <c r="F90" s="59"/>
      <c r="G90" s="59"/>
      <c r="H90" s="59"/>
      <c r="K90" s="61">
        <v>2021</v>
      </c>
    </row>
    <row r="91" spans="2:13" ht="15">
      <c r="B91" s="62" t="s">
        <v>42</v>
      </c>
      <c r="C91" s="63">
        <f>Calculation!E33</f>
        <v>1181</v>
      </c>
      <c r="D91" s="63"/>
      <c r="E91" s="63"/>
      <c r="F91" s="63"/>
      <c r="G91" s="63"/>
      <c r="H91" s="63"/>
      <c r="J91" s="64"/>
      <c r="K91" s="63">
        <f>Calculation!E32</f>
        <v>1234</v>
      </c>
      <c r="L91" s="73">
        <f>K91-C91</f>
        <v>53</v>
      </c>
      <c r="M91" s="28">
        <f>K91/C91</f>
        <v>1.0448772226926333</v>
      </c>
    </row>
    <row r="92" spans="2:13" ht="15">
      <c r="B92" s="62" t="s">
        <v>43</v>
      </c>
      <c r="C92" s="63">
        <f>Calculation!F33</f>
        <v>1511</v>
      </c>
      <c r="D92" s="63"/>
      <c r="E92" s="63"/>
      <c r="F92" s="63"/>
      <c r="G92" s="63"/>
      <c r="H92" s="63"/>
      <c r="J92" s="64"/>
      <c r="K92" s="63">
        <f>Calculation!F32</f>
        <v>1550</v>
      </c>
      <c r="L92" s="73">
        <f>K92-C92</f>
        <v>39</v>
      </c>
      <c r="M92" s="28">
        <f>K92/C92</f>
        <v>1.0258107213765717</v>
      </c>
    </row>
    <row r="93" spans="2:13" ht="15">
      <c r="B93" s="62" t="s">
        <v>44</v>
      </c>
      <c r="C93" s="63">
        <f>Calculation!G33</f>
        <v>1589</v>
      </c>
      <c r="D93" s="63"/>
      <c r="E93" s="63"/>
      <c r="F93" s="63"/>
      <c r="G93" s="63"/>
      <c r="H93" s="63"/>
      <c r="J93" s="64"/>
      <c r="K93" s="63">
        <f>Calculation!G32</f>
        <v>1642</v>
      </c>
      <c r="L93" s="73">
        <f>K93-C93</f>
        <v>53</v>
      </c>
      <c r="M93" s="28">
        <f>K93/C93</f>
        <v>1.0333543108873506</v>
      </c>
    </row>
    <row r="94" spans="2:10" ht="15">
      <c r="B94" s="44"/>
      <c r="C94" s="65"/>
      <c r="D94" s="65"/>
      <c r="E94" s="65"/>
      <c r="F94" s="65"/>
      <c r="G94" s="65"/>
      <c r="H94" s="65"/>
      <c r="I94" s="65"/>
      <c r="J94" s="65"/>
    </row>
    <row r="95" spans="1:11" ht="27" customHeight="1">
      <c r="A95" s="69"/>
      <c r="B95" s="85"/>
      <c r="C95" s="85"/>
      <c r="D95" s="85"/>
      <c r="E95" s="85"/>
      <c r="F95" s="85"/>
      <c r="G95" s="85"/>
      <c r="H95" s="85"/>
      <c r="I95" s="85"/>
      <c r="J95" s="85"/>
      <c r="K95" s="85"/>
    </row>
    <row r="96" ht="15">
      <c r="B96" s="28"/>
    </row>
    <row r="97" ht="13.5" customHeight="1">
      <c r="B97" s="28"/>
    </row>
  </sheetData>
  <sheetProtection/>
  <mergeCells count="4">
    <mergeCell ref="A1:K1"/>
    <mergeCell ref="A2:K2"/>
    <mergeCell ref="A3:K3"/>
    <mergeCell ref="B95:K95"/>
  </mergeCells>
  <printOptions gridLines="1" horizontalCentered="1"/>
  <pageMargins left="0.25" right="0.25" top="0.75" bottom="0.75" header="0.3" footer="0.3"/>
  <pageSetup fitToHeight="2" fitToWidth="1" horizontalDpi="600" verticalDpi="600" orientation="portrait" scale="88" r:id="rId1"/>
  <rowBreaks count="1" manualBreakCount="1"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24.57421875" style="0" customWidth="1"/>
    <col min="2" max="2" width="12.00390625" style="0" customWidth="1"/>
    <col min="3" max="3" width="11.00390625" style="0" customWidth="1"/>
    <col min="4" max="4" width="10.57421875" style="0" customWidth="1"/>
    <col min="5" max="5" width="16.00390625" style="0" customWidth="1"/>
    <col min="6" max="6" width="14.7109375" style="0" customWidth="1"/>
    <col min="7" max="7" width="16.28125" style="0" customWidth="1"/>
  </cols>
  <sheetData>
    <row r="1" spans="1:11" ht="15.75">
      <c r="A1" s="86" t="s">
        <v>68</v>
      </c>
      <c r="B1" s="86"/>
      <c r="C1" s="86"/>
      <c r="D1" s="86"/>
      <c r="E1" s="86"/>
      <c r="F1" s="86"/>
      <c r="G1" s="86"/>
      <c r="H1" s="23"/>
      <c r="I1" s="23"/>
      <c r="J1" s="23"/>
      <c r="K1" s="24"/>
    </row>
    <row r="2" spans="1:7" ht="15">
      <c r="A2" s="87" t="s">
        <v>133</v>
      </c>
      <c r="B2" s="87"/>
      <c r="C2" s="87"/>
      <c r="D2" s="87"/>
      <c r="E2" s="87"/>
      <c r="F2" s="87"/>
      <c r="G2" s="87"/>
    </row>
    <row r="3" spans="1:7" ht="15">
      <c r="A3" s="3"/>
      <c r="B3" s="3"/>
      <c r="C3" s="3"/>
      <c r="D3" s="3"/>
      <c r="E3" s="3"/>
      <c r="F3" s="3"/>
      <c r="G3" s="3"/>
    </row>
    <row r="4" ht="15">
      <c r="B4" s="4"/>
    </row>
    <row r="5" spans="1:7" ht="15">
      <c r="A5" s="3" t="s">
        <v>86</v>
      </c>
      <c r="B5" s="5" t="s">
        <v>87</v>
      </c>
      <c r="C5" s="3" t="s">
        <v>87</v>
      </c>
      <c r="D5" s="3" t="s">
        <v>87</v>
      </c>
      <c r="E5" s="3" t="s">
        <v>88</v>
      </c>
      <c r="F5" s="3">
        <v>2021</v>
      </c>
      <c r="G5" s="3" t="s">
        <v>88</v>
      </c>
    </row>
    <row r="6" spans="1:7" ht="15">
      <c r="A6" s="6"/>
      <c r="B6" s="5" t="s">
        <v>89</v>
      </c>
      <c r="C6" s="3" t="s">
        <v>90</v>
      </c>
      <c r="D6" s="3" t="s">
        <v>91</v>
      </c>
      <c r="E6" s="3" t="s">
        <v>92</v>
      </c>
      <c r="F6" s="3" t="s">
        <v>93</v>
      </c>
      <c r="G6" s="3" t="s">
        <v>92</v>
      </c>
    </row>
    <row r="7" spans="1:7" ht="15">
      <c r="A7" s="6"/>
      <c r="B7" s="5" t="s">
        <v>94</v>
      </c>
      <c r="C7" s="3"/>
      <c r="D7" s="3" t="s">
        <v>90</v>
      </c>
      <c r="E7" s="3" t="s">
        <v>134</v>
      </c>
      <c r="F7" s="3" t="s">
        <v>95</v>
      </c>
      <c r="G7" s="3">
        <v>2021</v>
      </c>
    </row>
    <row r="8" spans="1:7" ht="15">
      <c r="A8" s="6"/>
      <c r="B8" s="5"/>
      <c r="C8" s="3"/>
      <c r="D8" s="3"/>
      <c r="F8" s="3"/>
      <c r="G8" s="3"/>
    </row>
    <row r="9" spans="1:7" ht="15">
      <c r="A9" s="7"/>
      <c r="B9" s="5"/>
      <c r="C9" s="3"/>
      <c r="D9" s="3"/>
      <c r="E9" s="8"/>
      <c r="F9" s="3"/>
      <c r="G9" s="3"/>
    </row>
    <row r="10" spans="1:7" ht="15">
      <c r="A10" s="7" t="s">
        <v>124</v>
      </c>
      <c r="B10" s="9">
        <v>0</v>
      </c>
      <c r="C10" s="10">
        <v>0</v>
      </c>
      <c r="D10" s="10">
        <v>0</v>
      </c>
      <c r="E10" s="11">
        <v>629745</v>
      </c>
      <c r="F10" s="12">
        <v>110810</v>
      </c>
      <c r="G10" s="12">
        <f aca="true" t="shared" si="0" ref="G10:G16">E10+F10</f>
        <v>740555</v>
      </c>
    </row>
    <row r="11" spans="1:7" ht="15">
      <c r="A11" s="7" t="s">
        <v>98</v>
      </c>
      <c r="B11" s="9"/>
      <c r="C11" s="10"/>
      <c r="D11" s="10"/>
      <c r="E11" s="11">
        <v>42919</v>
      </c>
      <c r="F11" s="12">
        <v>42781</v>
      </c>
      <c r="G11" s="12">
        <f t="shared" si="0"/>
        <v>85700</v>
      </c>
    </row>
    <row r="12" spans="1:7" ht="15">
      <c r="A12" s="7" t="s">
        <v>125</v>
      </c>
      <c r="B12" s="9"/>
      <c r="C12" s="10"/>
      <c r="D12" s="10"/>
      <c r="E12" s="11">
        <v>-79680</v>
      </c>
      <c r="F12" s="12">
        <v>193077</v>
      </c>
      <c r="G12" s="12">
        <f t="shared" si="0"/>
        <v>113397</v>
      </c>
    </row>
    <row r="13" spans="1:7" ht="15">
      <c r="A13" s="7" t="s">
        <v>126</v>
      </c>
      <c r="B13" s="9"/>
      <c r="C13" s="10"/>
      <c r="D13" s="10"/>
      <c r="E13" s="11">
        <v>-33970</v>
      </c>
      <c r="F13" s="12">
        <v>69380</v>
      </c>
      <c r="G13" s="12">
        <f>E13+F13</f>
        <v>35410</v>
      </c>
    </row>
    <row r="14" spans="1:7" ht="15" hidden="1">
      <c r="A14" s="7" t="s">
        <v>109</v>
      </c>
      <c r="B14" s="9"/>
      <c r="C14" s="10"/>
      <c r="D14" s="10"/>
      <c r="E14" s="11">
        <v>0</v>
      </c>
      <c r="F14" s="12">
        <v>0</v>
      </c>
      <c r="G14" s="12">
        <f t="shared" si="0"/>
        <v>0</v>
      </c>
    </row>
    <row r="15" spans="1:7" ht="15">
      <c r="A15" s="7" t="s">
        <v>120</v>
      </c>
      <c r="B15" s="9"/>
      <c r="C15" s="10"/>
      <c r="D15" s="10"/>
      <c r="E15" s="11">
        <v>100000</v>
      </c>
      <c r="F15" s="12"/>
      <c r="G15" s="12">
        <f t="shared" si="0"/>
        <v>100000</v>
      </c>
    </row>
    <row r="16" spans="1:7" ht="15">
      <c r="A16" s="7" t="s">
        <v>96</v>
      </c>
      <c r="B16" s="74"/>
      <c r="C16" s="10"/>
      <c r="D16" s="10"/>
      <c r="E16" s="13">
        <v>26000</v>
      </c>
      <c r="F16" s="14"/>
      <c r="G16" s="14">
        <f t="shared" si="0"/>
        <v>26000</v>
      </c>
    </row>
    <row r="17" spans="1:7" ht="15">
      <c r="A17" s="6"/>
      <c r="B17" s="15"/>
      <c r="C17" s="16"/>
      <c r="D17" s="16"/>
      <c r="E17" s="17"/>
      <c r="F17" s="18"/>
      <c r="G17" s="19"/>
    </row>
    <row r="18" spans="1:7" ht="15.75" thickBot="1">
      <c r="A18" s="7" t="s">
        <v>97</v>
      </c>
      <c r="B18" s="74"/>
      <c r="C18" s="20"/>
      <c r="D18" s="20"/>
      <c r="E18" s="21">
        <f>SUM(E10:E16)</f>
        <v>685014</v>
      </c>
      <c r="F18" s="21">
        <f>SUM(F10:F16)</f>
        <v>416048</v>
      </c>
      <c r="G18" s="21">
        <f>SUM(G10:G16)</f>
        <v>1101062</v>
      </c>
    </row>
    <row r="19" ht="15.75" thickTop="1">
      <c r="B19" s="15"/>
    </row>
    <row r="20" spans="1:2" ht="15">
      <c r="A20" s="7" t="s">
        <v>135</v>
      </c>
      <c r="B20" s="15"/>
    </row>
    <row r="21" ht="15">
      <c r="B21" s="15"/>
    </row>
    <row r="22" spans="1:2" ht="15">
      <c r="A22" s="22" t="s">
        <v>121</v>
      </c>
      <c r="B22" s="4"/>
    </row>
    <row r="24" spans="1:8" ht="15">
      <c r="A24" s="67"/>
      <c r="B24" s="67"/>
      <c r="C24" s="67"/>
      <c r="D24" s="67"/>
      <c r="E24" s="67"/>
      <c r="F24" s="67"/>
      <c r="G24" s="67"/>
      <c r="H24" s="67"/>
    </row>
  </sheetData>
  <sheetProtection/>
  <mergeCells count="2">
    <mergeCell ref="A1:G1"/>
    <mergeCell ref="A2:G2"/>
  </mergeCells>
  <printOptions horizontalCentered="1"/>
  <pageMargins left="0.5" right="0.5" top="1" bottom="1" header="0.5" footer="0.5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0">
      <selection activeCell="G36" sqref="G36"/>
    </sheetView>
  </sheetViews>
  <sheetFormatPr defaultColWidth="9.140625" defaultRowHeight="15"/>
  <cols>
    <col min="1" max="1" width="31.28125" style="0" bestFit="1" customWidth="1"/>
    <col min="2" max="2" width="15.28125" style="0" customWidth="1"/>
    <col min="3" max="3" width="14.28125" style="0" customWidth="1"/>
    <col min="5" max="5" width="10.140625" style="0" customWidth="1"/>
    <col min="6" max="6" width="10.57421875" style="0" customWidth="1"/>
    <col min="7" max="7" width="10.28125" style="0" customWidth="1"/>
    <col min="8" max="8" width="18.00390625" style="0" customWidth="1"/>
  </cols>
  <sheetData>
    <row r="1" spans="1:12" ht="15.75">
      <c r="A1" s="86" t="s">
        <v>68</v>
      </c>
      <c r="B1" s="86"/>
      <c r="C1" s="86"/>
      <c r="D1" s="86"/>
      <c r="E1" s="86"/>
      <c r="F1" s="86"/>
      <c r="G1" s="86"/>
      <c r="H1" s="23"/>
      <c r="I1" s="23"/>
      <c r="J1" s="23"/>
      <c r="K1" s="23"/>
      <c r="L1" s="24"/>
    </row>
    <row r="2" spans="1:12" ht="15.75">
      <c r="A2" s="86" t="s">
        <v>138</v>
      </c>
      <c r="B2" s="86"/>
      <c r="C2" s="86"/>
      <c r="D2" s="86"/>
      <c r="E2" s="86"/>
      <c r="F2" s="86"/>
      <c r="G2" s="86"/>
      <c r="H2" s="23"/>
      <c r="I2" s="23"/>
      <c r="J2" s="23"/>
      <c r="K2" s="23"/>
      <c r="L2" s="24"/>
    </row>
    <row r="3" spans="1:12" ht="15.75">
      <c r="A3" s="2"/>
      <c r="B3" s="2"/>
      <c r="C3" s="2"/>
      <c r="D3" s="2"/>
      <c r="E3" s="2"/>
      <c r="F3" s="2"/>
      <c r="G3" s="2"/>
      <c r="H3" s="23"/>
      <c r="I3" s="23"/>
      <c r="J3" s="23"/>
      <c r="K3" s="23"/>
      <c r="L3" s="23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9" ht="15">
      <c r="A5" s="1" t="s">
        <v>70</v>
      </c>
      <c r="B5" s="25">
        <f>Budget!K9</f>
        <v>2180402</v>
      </c>
      <c r="C5" s="25"/>
      <c r="D5" s="25"/>
      <c r="E5" s="25"/>
      <c r="F5" s="25"/>
      <c r="G5" s="25"/>
      <c r="H5">
        <f>((E31*150)+(F31*174)+(G31*55))*4</f>
        <v>2180402</v>
      </c>
      <c r="I5" t="s">
        <v>100</v>
      </c>
    </row>
    <row r="6" spans="2:9" ht="15">
      <c r="B6" s="25"/>
      <c r="C6" s="25"/>
      <c r="D6" s="25"/>
      <c r="E6" s="25"/>
      <c r="F6" s="25"/>
      <c r="G6" s="25"/>
      <c r="H6">
        <f>((E32*150)+(F32*174)+(G32*55))*4</f>
        <v>2180440</v>
      </c>
      <c r="I6" t="s">
        <v>101</v>
      </c>
    </row>
    <row r="7" spans="1:7" ht="15">
      <c r="A7" t="s">
        <v>71</v>
      </c>
      <c r="B7" s="25">
        <f>Budget!K78</f>
        <v>42781</v>
      </c>
      <c r="C7" s="25"/>
      <c r="D7" s="25"/>
      <c r="E7" s="25"/>
      <c r="F7" s="25"/>
      <c r="G7" s="25"/>
    </row>
    <row r="8" spans="1:9" ht="15">
      <c r="A8" t="s">
        <v>127</v>
      </c>
      <c r="B8" s="25">
        <f>Budget!K79</f>
        <v>193077</v>
      </c>
      <c r="C8" s="25"/>
      <c r="D8" s="25"/>
      <c r="E8" s="25"/>
      <c r="F8" s="25"/>
      <c r="G8" s="25"/>
      <c r="H8">
        <f>H5-H6</f>
        <v>-38</v>
      </c>
      <c r="I8" t="s">
        <v>102</v>
      </c>
    </row>
    <row r="9" spans="1:7" ht="15">
      <c r="A9" t="s">
        <v>128</v>
      </c>
      <c r="B9" s="25">
        <f>Budget!K80</f>
        <v>69380</v>
      </c>
      <c r="C9" s="25"/>
      <c r="D9" s="25"/>
      <c r="E9" s="25"/>
      <c r="F9" s="25"/>
      <c r="G9" s="25"/>
    </row>
    <row r="10" spans="2:7" ht="15">
      <c r="B10" s="25"/>
      <c r="C10" s="25"/>
      <c r="D10" s="25"/>
      <c r="E10" s="25"/>
      <c r="F10" s="25"/>
      <c r="G10" s="25"/>
    </row>
    <row r="11" spans="1:7" ht="15">
      <c r="A11" t="s">
        <v>72</v>
      </c>
      <c r="B11" s="25">
        <f>B5-B7-B8-B9</f>
        <v>1875164</v>
      </c>
      <c r="C11" s="25"/>
      <c r="D11" s="25"/>
      <c r="E11" s="25"/>
      <c r="F11" s="25"/>
      <c r="G11" s="25"/>
    </row>
    <row r="12" spans="2:7" ht="15">
      <c r="B12" s="25"/>
      <c r="C12" s="25"/>
      <c r="D12" s="25"/>
      <c r="E12" s="25"/>
      <c r="F12" s="25"/>
      <c r="G12" s="25"/>
    </row>
    <row r="13" spans="1:7" ht="15">
      <c r="A13" t="s">
        <v>73</v>
      </c>
      <c r="B13" s="25">
        <f>Budget!K41</f>
        <v>470200</v>
      </c>
      <c r="C13" s="25"/>
      <c r="D13" s="25"/>
      <c r="E13" s="25"/>
      <c r="F13" s="25"/>
      <c r="G13" s="25"/>
    </row>
    <row r="14" spans="1:7" ht="15">
      <c r="A14" t="s">
        <v>74</v>
      </c>
      <c r="B14" s="25">
        <f>Budget!K46</f>
        <v>150000</v>
      </c>
      <c r="C14" s="25"/>
      <c r="D14" s="25"/>
      <c r="E14" s="25"/>
      <c r="F14" s="25"/>
      <c r="G14" s="25"/>
    </row>
    <row r="15" spans="1:7" ht="15">
      <c r="A15" t="s">
        <v>14</v>
      </c>
      <c r="B15" s="25">
        <f>Budget!K47</f>
        <v>0</v>
      </c>
      <c r="C15" s="25"/>
      <c r="D15" s="25"/>
      <c r="E15" s="25"/>
      <c r="F15" s="25"/>
      <c r="G15" s="25"/>
    </row>
    <row r="16" spans="1:7" ht="15">
      <c r="A16" t="s">
        <v>99</v>
      </c>
      <c r="B16" s="25">
        <f>Budget!K50+Budget!K52</f>
        <v>180000</v>
      </c>
      <c r="C16" s="25"/>
      <c r="D16" s="25"/>
      <c r="E16" s="25"/>
      <c r="F16" s="25"/>
      <c r="G16" s="25"/>
    </row>
    <row r="17" spans="2:7" ht="15">
      <c r="B17" s="25"/>
      <c r="C17" s="25"/>
      <c r="D17" s="25"/>
      <c r="E17" s="25"/>
      <c r="F17" s="25"/>
      <c r="G17" s="25"/>
    </row>
    <row r="18" spans="1:7" ht="15">
      <c r="A18" t="s">
        <v>75</v>
      </c>
      <c r="B18" s="25">
        <f>SUM(B13:B16)</f>
        <v>800200</v>
      </c>
      <c r="C18" s="25"/>
      <c r="D18" s="25"/>
      <c r="E18" s="25"/>
      <c r="F18" s="25"/>
      <c r="G18" s="25"/>
    </row>
    <row r="19" spans="2:7" ht="15">
      <c r="B19" s="25"/>
      <c r="C19" s="25"/>
      <c r="D19" s="25"/>
      <c r="E19" s="26" t="s">
        <v>76</v>
      </c>
      <c r="F19" s="26" t="s">
        <v>77</v>
      </c>
      <c r="G19" s="26" t="s">
        <v>78</v>
      </c>
    </row>
    <row r="20" spans="2:7" ht="15">
      <c r="B20" s="25"/>
      <c r="C20" s="25"/>
      <c r="D20" s="25"/>
      <c r="E20" s="25"/>
      <c r="F20" s="25"/>
      <c r="G20" s="25"/>
    </row>
    <row r="21" spans="1:7" ht="15">
      <c r="A21" t="s">
        <v>79</v>
      </c>
      <c r="B21" s="25"/>
      <c r="C21" s="25">
        <f>SUM(B11-B18)</f>
        <v>1074964</v>
      </c>
      <c r="D21" s="25"/>
      <c r="E21" s="25">
        <f>C21/379</f>
        <v>2836.3166226912927</v>
      </c>
      <c r="F21" s="25">
        <f>C21/379</f>
        <v>2836.3166226912927</v>
      </c>
      <c r="G21" s="25">
        <f>C21/379</f>
        <v>2836.3166226912927</v>
      </c>
    </row>
    <row r="22" spans="1:7" ht="15">
      <c r="A22" t="s">
        <v>80</v>
      </c>
      <c r="B22" s="25"/>
      <c r="C22" s="25">
        <f>0.15*B18</f>
        <v>120030</v>
      </c>
      <c r="D22" s="25"/>
      <c r="E22" s="25">
        <f>C22/150</f>
        <v>800.2</v>
      </c>
      <c r="F22" s="25"/>
      <c r="G22" s="25"/>
    </row>
    <row r="23" spans="1:7" ht="15">
      <c r="A23" t="s">
        <v>81</v>
      </c>
      <c r="B23" s="25"/>
      <c r="C23" s="25">
        <f>0.27*B18</f>
        <v>216054</v>
      </c>
      <c r="D23" s="25"/>
      <c r="E23" s="25"/>
      <c r="F23" s="25">
        <f>C23/174</f>
        <v>1241.6896551724137</v>
      </c>
      <c r="G23" s="25"/>
    </row>
    <row r="24" spans="1:7" ht="15">
      <c r="A24" t="s">
        <v>82</v>
      </c>
      <c r="B24" s="25"/>
      <c r="C24" s="25">
        <f>0.1*B18</f>
        <v>80020</v>
      </c>
      <c r="D24" s="25"/>
      <c r="E24" s="25"/>
      <c r="F24" s="25"/>
      <c r="G24" s="25">
        <f>C24/55</f>
        <v>1454.909090909091</v>
      </c>
    </row>
    <row r="25" spans="1:7" ht="15">
      <c r="A25" t="s">
        <v>83</v>
      </c>
      <c r="B25" s="25"/>
      <c r="C25" s="25">
        <f>0.48*B18</f>
        <v>384096</v>
      </c>
      <c r="D25" s="25"/>
      <c r="E25" s="25">
        <f>C25/379</f>
        <v>1013.4459102902375</v>
      </c>
      <c r="F25" s="25">
        <f>C25/379</f>
        <v>1013.4459102902375</v>
      </c>
      <c r="G25" s="25">
        <f>C25/379</f>
        <v>1013.4459102902375</v>
      </c>
    </row>
    <row r="26" spans="1:7" ht="15">
      <c r="A26" t="s">
        <v>84</v>
      </c>
      <c r="B26" s="25"/>
      <c r="C26" s="25">
        <f>B7</f>
        <v>42781</v>
      </c>
      <c r="D26" s="25"/>
      <c r="E26" s="25">
        <f>C26/150</f>
        <v>285.20666666666665</v>
      </c>
      <c r="F26" s="25"/>
      <c r="G26" s="25"/>
    </row>
    <row r="27" spans="1:7" ht="15">
      <c r="A27" t="s">
        <v>127</v>
      </c>
      <c r="B27" s="25"/>
      <c r="C27" s="25">
        <f>B8</f>
        <v>193077</v>
      </c>
      <c r="D27" s="25"/>
      <c r="E27" s="25"/>
      <c r="F27" s="25">
        <f>C27/174</f>
        <v>1109.6379310344828</v>
      </c>
      <c r="G27" s="25"/>
    </row>
    <row r="28" spans="1:7" ht="15">
      <c r="A28" t="s">
        <v>129</v>
      </c>
      <c r="B28" s="25"/>
      <c r="C28" s="25">
        <f>B9</f>
        <v>69380</v>
      </c>
      <c r="D28" s="25"/>
      <c r="E28" s="25"/>
      <c r="F28" s="25"/>
      <c r="G28" s="25">
        <f>C28/55</f>
        <v>1261.4545454545455</v>
      </c>
    </row>
    <row r="29" spans="1:7" ht="15">
      <c r="A29" t="s">
        <v>85</v>
      </c>
      <c r="B29" s="25"/>
      <c r="C29" s="25">
        <f>SUM(C21:C28)</f>
        <v>2180402</v>
      </c>
      <c r="D29" s="25"/>
      <c r="E29" s="25">
        <f>SUM(E21:E26)</f>
        <v>4935.169199648197</v>
      </c>
      <c r="F29" s="25">
        <f>SUM(F21:F28)</f>
        <v>6201.090119188427</v>
      </c>
      <c r="G29" s="25">
        <f>SUM(G21:G28)</f>
        <v>6566.126169345167</v>
      </c>
    </row>
    <row r="30" spans="2:7" ht="15">
      <c r="B30" s="25"/>
      <c r="C30" s="25"/>
      <c r="D30" s="25"/>
      <c r="E30" s="25"/>
      <c r="F30" s="25"/>
      <c r="G30" s="25"/>
    </row>
    <row r="31" spans="1:7" ht="15">
      <c r="A31" t="s">
        <v>139</v>
      </c>
      <c r="B31" s="25"/>
      <c r="C31" s="25"/>
      <c r="D31" s="25"/>
      <c r="E31" s="25">
        <f>E29*0.25</f>
        <v>1233.7922999120492</v>
      </c>
      <c r="F31" s="25">
        <f>F29*0.25</f>
        <v>1550.2725297971067</v>
      </c>
      <c r="G31" s="25">
        <f>G29*0.25</f>
        <v>1641.5315423362917</v>
      </c>
    </row>
    <row r="32" spans="1:7" ht="15">
      <c r="A32" s="71" t="s">
        <v>140</v>
      </c>
      <c r="B32" s="72"/>
      <c r="C32" s="72"/>
      <c r="D32" s="72"/>
      <c r="E32" s="72">
        <f>ROUND(E31,0)</f>
        <v>1234</v>
      </c>
      <c r="F32" s="72">
        <f>ROUND(F31,0)</f>
        <v>1550</v>
      </c>
      <c r="G32" s="72">
        <f>ROUND(G31,0)</f>
        <v>1642</v>
      </c>
    </row>
    <row r="33" spans="1:7" ht="15">
      <c r="A33" t="s">
        <v>118</v>
      </c>
      <c r="B33" s="25"/>
      <c r="C33" s="25"/>
      <c r="D33" s="25"/>
      <c r="E33" s="25">
        <v>1181</v>
      </c>
      <c r="F33" s="25">
        <v>1511</v>
      </c>
      <c r="G33" s="25">
        <v>1589</v>
      </c>
    </row>
    <row r="35" spans="1:7" ht="15">
      <c r="A35" t="s">
        <v>147</v>
      </c>
      <c r="E35" s="81">
        <f>ROUND(+E26/4,2)</f>
        <v>71.3</v>
      </c>
      <c r="F35" s="81">
        <f>ROUND(+F27/4,2)</f>
        <v>277.41</v>
      </c>
      <c r="G35" s="81">
        <f>ROUND(+G28/4,2)</f>
        <v>315.36</v>
      </c>
    </row>
    <row r="37" spans="5:7" ht="15">
      <c r="E37" s="25">
        <f>E32-E33</f>
        <v>53</v>
      </c>
      <c r="F37" s="25">
        <f>F32-F33</f>
        <v>39</v>
      </c>
      <c r="G37" s="25">
        <f>G32-G33</f>
        <v>53</v>
      </c>
    </row>
    <row r="38" spans="5:7" ht="15">
      <c r="E38">
        <f>E37/E33</f>
        <v>0.04487722269263336</v>
      </c>
      <c r="F38">
        <f>F37/F33</f>
        <v>0.025810721376571807</v>
      </c>
      <c r="G38">
        <f>G37/G33</f>
        <v>0.03335431088735054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scale="83" r:id="rId1"/>
  <rowBreaks count="1" manualBreakCount="1">
    <brk id="38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Shannon</dc:creator>
  <cp:keywords/>
  <dc:description/>
  <cp:lastModifiedBy>Donna Tagg</cp:lastModifiedBy>
  <cp:lastPrinted>2020-11-02T14:28:03Z</cp:lastPrinted>
  <dcterms:created xsi:type="dcterms:W3CDTF">2007-07-02T20:13:35Z</dcterms:created>
  <dcterms:modified xsi:type="dcterms:W3CDTF">2020-11-03T16:41:48Z</dcterms:modified>
  <cp:category/>
  <cp:version/>
  <cp:contentType/>
  <cp:contentStatus/>
</cp:coreProperties>
</file>